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,2025\Budget\"/>
    </mc:Choice>
  </mc:AlternateContent>
  <bookViews>
    <workbookView xWindow="0" yWindow="0" windowWidth="19290" windowHeight="8400" firstSheet="4" activeTab="9"/>
  </bookViews>
  <sheets>
    <sheet name="Fund Balance (2)" sheetId="12" state="hidden" r:id="rId1"/>
    <sheet name="Fund Balance" sheetId="10" state="hidden" r:id="rId2"/>
    <sheet name="DA Davidson Recon." sheetId="9" state="hidden" r:id="rId3"/>
    <sheet name="Budget Summary" sheetId="8" state="hidden" r:id="rId4"/>
    <sheet name="Gen Fund" sheetId="2" r:id="rId5"/>
    <sheet name="Debt Service" sheetId="4" r:id="rId6"/>
    <sheet name="Ent Fund" sheetId="7" r:id="rId7"/>
    <sheet name="2008 Projections" sheetId="6" state="hidden" r:id="rId8"/>
    <sheet name="Capital Projects" sheetId="20" r:id="rId9"/>
    <sheet name="Mill Levy" sheetId="25" r:id="rId10"/>
  </sheets>
  <externalReferences>
    <externalReference r:id="rId11"/>
    <externalReference r:id="rId12"/>
    <externalReference r:id="rId13"/>
    <externalReference r:id="rId14"/>
  </externalReferences>
  <definedNames>
    <definedName name="BegPriorYear1">[1]Assumptions!$E$7</definedName>
    <definedName name="Budget">[1]BudgetData!$A$3:$E$65543</definedName>
    <definedName name="CurrentYear">[1]Assumptions!$E$15</definedName>
    <definedName name="DistrictName">[1]Assumptions!$E$4</definedName>
    <definedName name="DS_PropertyTax" localSheetId="8">'[2]AV-Mill Levy'!$C$20</definedName>
    <definedName name="DS_PropertyTax">#REF!</definedName>
    <definedName name="EndPriorYear1">[1]Assumptions!$E$8</definedName>
    <definedName name="EndPY1_Prelim">[1]Assumptions!$E$10</definedName>
    <definedName name="fs">[3]TrialBalance!$1:$1048576</definedName>
    <definedName name="GF_PropertyTax" localSheetId="8">'[2]AV-Mill Levy'!$C$19</definedName>
    <definedName name="GF_PropertyTax">#REF!</definedName>
    <definedName name="_xlnm.Print_Area" localSheetId="3">'Budget Summary'!$A$1:$I$121</definedName>
    <definedName name="_xlnm.Print_Area" localSheetId="8">'Capital Projects'!$A$1:$N$52</definedName>
    <definedName name="_xlnm.Print_Area" localSheetId="5">'Debt Service'!$A$1:$S$41</definedName>
    <definedName name="_xlnm.Print_Area" localSheetId="6">'Ent Fund'!$A$1:$Q$144</definedName>
    <definedName name="_xlnm.Print_Area" localSheetId="4">'Gen Fund'!$A$1:$T$49</definedName>
    <definedName name="_xlnm.Print_Area" localSheetId="9">'Mill Levy'!$B$3:$K$28</definedName>
    <definedName name="_xlnm.Print_Titles" localSheetId="3">'Budget Summary'!$1:$7</definedName>
    <definedName name="_xlnm.Print_Titles" localSheetId="6">'Ent Fund'!$1:$9</definedName>
    <definedName name="PriorYear_2">[1]Assumptions!$E$17</definedName>
    <definedName name="PriorYear1">[1]Assumptions!$E$16</definedName>
    <definedName name="PriorYear2_End">[1]Assumptions!$E$9</definedName>
    <definedName name="Status">[1]Assumptions!$E$18</definedName>
    <definedName name="TB">[4]TrialBalance!$A$3:$E$250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25" l="1"/>
  <c r="J18" i="25"/>
  <c r="O131" i="7" l="1"/>
  <c r="N131" i="7"/>
  <c r="M131" i="7"/>
  <c r="L131" i="7"/>
  <c r="K131" i="7"/>
  <c r="J131" i="7"/>
  <c r="I131" i="7"/>
  <c r="H131" i="7"/>
  <c r="G131" i="7"/>
  <c r="F131" i="7"/>
  <c r="E131" i="7"/>
  <c r="O129" i="7"/>
  <c r="N129" i="7"/>
  <c r="M129" i="7"/>
  <c r="L129" i="7"/>
  <c r="K129" i="7"/>
  <c r="J129" i="7"/>
  <c r="I129" i="7"/>
  <c r="H129" i="7"/>
  <c r="G129" i="7"/>
  <c r="F129" i="7"/>
  <c r="E129" i="7"/>
  <c r="K136" i="7" l="1"/>
  <c r="K61" i="7"/>
  <c r="K64" i="7" s="1"/>
  <c r="K76" i="7"/>
  <c r="K121" i="7"/>
  <c r="K108" i="7"/>
  <c r="K72" i="7"/>
  <c r="K26" i="7"/>
  <c r="M44" i="20"/>
  <c r="N44" i="20"/>
  <c r="H12" i="4"/>
  <c r="H19" i="4" s="1"/>
  <c r="H29" i="4"/>
  <c r="L41" i="2"/>
  <c r="J41" i="2"/>
  <c r="H41" i="2"/>
  <c r="H33" i="2"/>
  <c r="H20" i="2"/>
  <c r="H34" i="2" s="1"/>
  <c r="H44" i="2" s="1"/>
  <c r="H48" i="2" s="1"/>
  <c r="K86" i="7" l="1"/>
  <c r="K123" i="7" s="1"/>
  <c r="K138" i="7" s="1"/>
  <c r="K142" i="7" s="1"/>
  <c r="H31" i="4"/>
  <c r="H35" i="4" s="1"/>
  <c r="O136" i="7" l="1"/>
  <c r="N16" i="20"/>
  <c r="N36" i="20" l="1"/>
  <c r="N38" i="20" s="1"/>
  <c r="N46" i="20" s="1"/>
  <c r="L28" i="2"/>
  <c r="L33" i="2" s="1"/>
  <c r="O26" i="7" l="1"/>
  <c r="O64" i="7"/>
  <c r="O86" i="7"/>
  <c r="O108" i="7"/>
  <c r="O121" i="7"/>
  <c r="L29" i="4"/>
  <c r="O123" i="7" l="1"/>
  <c r="O138" i="7" s="1"/>
  <c r="J22" i="25"/>
  <c r="L19" i="4" s="1"/>
  <c r="L31" i="4" s="1"/>
  <c r="J21" i="25"/>
  <c r="I22" i="25"/>
  <c r="I21" i="25"/>
  <c r="I26" i="25" s="1"/>
  <c r="J11" i="25"/>
  <c r="I11" i="25"/>
  <c r="H11" i="25"/>
  <c r="M36" i="20"/>
  <c r="M16" i="20"/>
  <c r="K29" i="4"/>
  <c r="K19" i="4"/>
  <c r="N121" i="7"/>
  <c r="N108" i="7"/>
  <c r="N86" i="7"/>
  <c r="L86" i="7"/>
  <c r="N64" i="7"/>
  <c r="N26" i="7"/>
  <c r="K41" i="2"/>
  <c r="K33" i="2"/>
  <c r="K20" i="2"/>
  <c r="L14" i="2" l="1"/>
  <c r="L20" i="2" s="1"/>
  <c r="L34" i="2" s="1"/>
  <c r="L44" i="2" s="1"/>
  <c r="J26" i="25"/>
  <c r="M38" i="20"/>
  <c r="M46" i="20" s="1"/>
  <c r="M50" i="20" s="1"/>
  <c r="N48" i="20" s="1"/>
  <c r="N50" i="20" s="1"/>
  <c r="K31" i="4"/>
  <c r="K35" i="4" s="1"/>
  <c r="L33" i="4" s="1"/>
  <c r="L35" i="4" s="1"/>
  <c r="K34" i="2"/>
  <c r="K44" i="2" s="1"/>
  <c r="K48" i="2" s="1"/>
  <c r="L46" i="2" s="1"/>
  <c r="N123" i="7"/>
  <c r="N138" i="7" s="1"/>
  <c r="N142" i="7" s="1"/>
  <c r="O140" i="7" s="1"/>
  <c r="O142" i="7" s="1"/>
  <c r="J33" i="2"/>
  <c r="I33" i="2"/>
  <c r="J20" i="2"/>
  <c r="I20" i="2"/>
  <c r="H18" i="25"/>
  <c r="L36" i="20"/>
  <c r="K36" i="20"/>
  <c r="L16" i="20"/>
  <c r="L38" i="20" s="1"/>
  <c r="L46" i="20" s="1"/>
  <c r="L50" i="20" s="1"/>
  <c r="K16" i="20"/>
  <c r="K38" i="20" s="1"/>
  <c r="K46" i="20" s="1"/>
  <c r="K50" i="20" s="1"/>
  <c r="G138" i="7"/>
  <c r="G142" i="7" s="1"/>
  <c r="H138" i="7"/>
  <c r="H142" i="7" s="1"/>
  <c r="I138" i="7"/>
  <c r="I142" i="7" s="1"/>
  <c r="J138" i="7"/>
  <c r="J142" i="7" s="1"/>
  <c r="J29" i="4"/>
  <c r="I29" i="4"/>
  <c r="J19" i="4"/>
  <c r="I19" i="4"/>
  <c r="I31" i="4" s="1"/>
  <c r="I35" i="4" s="1"/>
  <c r="M121" i="7"/>
  <c r="L121" i="7"/>
  <c r="M108" i="7"/>
  <c r="L108" i="7"/>
  <c r="M86" i="7"/>
  <c r="M64" i="7"/>
  <c r="L64" i="7"/>
  <c r="M26" i="7"/>
  <c r="L26" i="7"/>
  <c r="I41" i="2"/>
  <c r="L48" i="2" l="1"/>
  <c r="J31" i="4"/>
  <c r="J35" i="4" s="1"/>
  <c r="I34" i="2"/>
  <c r="I44" i="2" s="1"/>
  <c r="I48" i="2" s="1"/>
  <c r="L123" i="7"/>
  <c r="L138" i="7" s="1"/>
  <c r="L142" i="7" s="1"/>
  <c r="J34" i="2"/>
  <c r="J44" i="2" s="1"/>
  <c r="J48" i="2" s="1"/>
  <c r="M123" i="7"/>
  <c r="M138" i="7" s="1"/>
  <c r="M142" i="7" s="1"/>
  <c r="G24" i="25"/>
  <c r="G22" i="25"/>
  <c r="G13" i="25"/>
  <c r="G21" i="25" s="1"/>
  <c r="G23" i="25"/>
  <c r="G26" i="25" l="1"/>
  <c r="G18" i="25"/>
  <c r="F26" i="7"/>
  <c r="E26" i="7"/>
  <c r="G29" i="4" l="1"/>
  <c r="G19" i="4"/>
  <c r="G31" i="4" s="1"/>
  <c r="G35" i="4" s="1"/>
  <c r="G41" i="2"/>
  <c r="G33" i="2"/>
  <c r="G20" i="2"/>
  <c r="G34" i="2" s="1"/>
  <c r="I33" i="20"/>
  <c r="T113" i="7"/>
  <c r="U113" i="7" s="1"/>
  <c r="U118" i="7" s="1"/>
  <c r="G44" i="2" l="1"/>
  <c r="F24" i="25"/>
  <c r="E24" i="25"/>
  <c r="D24" i="25"/>
  <c r="C24" i="25"/>
  <c r="F22" i="25"/>
  <c r="E22" i="25"/>
  <c r="D22" i="25"/>
  <c r="C22" i="25"/>
  <c r="F13" i="25"/>
  <c r="F21" i="25" s="1"/>
  <c r="E13" i="25"/>
  <c r="E21" i="25" s="1"/>
  <c r="D13" i="25"/>
  <c r="D21" i="25" s="1"/>
  <c r="C13" i="25"/>
  <c r="C21" i="25" s="1"/>
  <c r="F11" i="25"/>
  <c r="F23" i="25" s="1"/>
  <c r="E11" i="25"/>
  <c r="E23" i="25" s="1"/>
  <c r="D11" i="25"/>
  <c r="D23" i="25" s="1"/>
  <c r="C23" i="25"/>
  <c r="F136" i="7"/>
  <c r="F121" i="7"/>
  <c r="F108" i="7"/>
  <c r="F86" i="7"/>
  <c r="F64" i="7"/>
  <c r="J36" i="20"/>
  <c r="I36" i="20"/>
  <c r="H36" i="20"/>
  <c r="G36" i="20"/>
  <c r="J44" i="20"/>
  <c r="J16" i="20"/>
  <c r="F29" i="4"/>
  <c r="F19" i="4"/>
  <c r="F41" i="2"/>
  <c r="F33" i="2"/>
  <c r="F20" i="2"/>
  <c r="C26" i="25" l="1"/>
  <c r="F26" i="25"/>
  <c r="E26" i="25"/>
  <c r="D26" i="25"/>
  <c r="C18" i="25"/>
  <c r="D18" i="25"/>
  <c r="E18" i="25"/>
  <c r="F18" i="25"/>
  <c r="F123" i="7"/>
  <c r="F34" i="2"/>
  <c r="F44" i="2" s="1"/>
  <c r="J38" i="20"/>
  <c r="J46" i="20" s="1"/>
  <c r="F31" i="4"/>
  <c r="F35" i="4" s="1"/>
  <c r="C136" i="7"/>
  <c r="C121" i="7"/>
  <c r="C108" i="7"/>
  <c r="C86" i="7"/>
  <c r="C64" i="7"/>
  <c r="C26" i="7"/>
  <c r="G44" i="20"/>
  <c r="G16" i="20"/>
  <c r="G38" i="20" s="1"/>
  <c r="C29" i="4"/>
  <c r="C19" i="4"/>
  <c r="C41" i="2"/>
  <c r="C33" i="2"/>
  <c r="C20" i="2"/>
  <c r="D19" i="4"/>
  <c r="D20" i="2"/>
  <c r="F16" i="20"/>
  <c r="E16" i="20"/>
  <c r="C16" i="20"/>
  <c r="P74" i="7"/>
  <c r="P84" i="7"/>
  <c r="P76" i="7"/>
  <c r="H80" i="7"/>
  <c r="H74" i="7"/>
  <c r="H51" i="7"/>
  <c r="I38" i="7"/>
  <c r="I20" i="7"/>
  <c r="I34" i="7"/>
  <c r="H35" i="7"/>
  <c r="E86" i="7"/>
  <c r="E64" i="7"/>
  <c r="E108" i="7"/>
  <c r="E121" i="7"/>
  <c r="F36" i="20"/>
  <c r="F44" i="20"/>
  <c r="D39" i="2"/>
  <c r="D29" i="4"/>
  <c r="D26" i="7"/>
  <c r="D64" i="7"/>
  <c r="E44" i="20"/>
  <c r="E36" i="20"/>
  <c r="D44" i="20"/>
  <c r="D38" i="20"/>
  <c r="C44" i="20"/>
  <c r="C36" i="20"/>
  <c r="I16" i="20"/>
  <c r="I44" i="20"/>
  <c r="B9" i="10"/>
  <c r="C54" i="8"/>
  <c r="C57" i="8"/>
  <c r="E136" i="7"/>
  <c r="E20" i="2"/>
  <c r="E33" i="2"/>
  <c r="E41" i="2"/>
  <c r="E19" i="4"/>
  <c r="E29" i="4"/>
  <c r="C21" i="8"/>
  <c r="C24" i="8" s="1"/>
  <c r="B5" i="4"/>
  <c r="E33" i="6"/>
  <c r="F33" i="6" s="1"/>
  <c r="E32" i="6"/>
  <c r="F32" i="6" s="1"/>
  <c r="E31" i="6"/>
  <c r="F31" i="6" s="1"/>
  <c r="E28" i="6"/>
  <c r="F28" i="6" s="1"/>
  <c r="E29" i="6"/>
  <c r="F29" i="6" s="1"/>
  <c r="D14" i="6"/>
  <c r="E14" i="6" s="1"/>
  <c r="E13" i="6"/>
  <c r="F13" i="6" s="1"/>
  <c r="E12" i="6"/>
  <c r="F12" i="6" s="1"/>
  <c r="D11" i="6"/>
  <c r="E11" i="6" s="1"/>
  <c r="D10" i="6"/>
  <c r="D15" i="6"/>
  <c r="E43" i="6"/>
  <c r="C17" i="6"/>
  <c r="F17" i="6" s="1"/>
  <c r="E22" i="6"/>
  <c r="C22" i="6"/>
  <c r="E30" i="6"/>
  <c r="E34" i="6"/>
  <c r="F34" i="6" s="1"/>
  <c r="E35" i="6"/>
  <c r="E36" i="6"/>
  <c r="F36" i="6" s="1"/>
  <c r="F50" i="6"/>
  <c r="F49" i="6"/>
  <c r="D48" i="6"/>
  <c r="F48" i="6" s="1"/>
  <c r="F47" i="6"/>
  <c r="F46" i="6"/>
  <c r="F45" i="6"/>
  <c r="F44" i="6"/>
  <c r="D43" i="6"/>
  <c r="F42" i="6"/>
  <c r="F41" i="6"/>
  <c r="F40" i="6"/>
  <c r="F39" i="6"/>
  <c r="F38" i="6"/>
  <c r="F37" i="6"/>
  <c r="C35" i="6"/>
  <c r="D35" i="6"/>
  <c r="D52" i="6" s="1"/>
  <c r="F30" i="6"/>
  <c r="F27" i="6"/>
  <c r="E26" i="6"/>
  <c r="F21" i="6"/>
  <c r="F20" i="6"/>
  <c r="F19" i="6"/>
  <c r="F18" i="6"/>
  <c r="F16" i="6"/>
  <c r="F15" i="6"/>
  <c r="D112" i="8"/>
  <c r="C112" i="8"/>
  <c r="D111" i="8"/>
  <c r="C111" i="8"/>
  <c r="C105" i="8"/>
  <c r="C115" i="8" s="1"/>
  <c r="C106" i="8"/>
  <c r="D82" i="8"/>
  <c r="C82" i="8"/>
  <c r="D75" i="8"/>
  <c r="C75" i="8"/>
  <c r="D74" i="8"/>
  <c r="C74" i="8"/>
  <c r="D72" i="8"/>
  <c r="C72" i="8"/>
  <c r="C71" i="8"/>
  <c r="C76" i="8" s="1"/>
  <c r="C80" i="8"/>
  <c r="C84" i="8" s="1"/>
  <c r="C81" i="8"/>
  <c r="C68" i="8"/>
  <c r="D47" i="8"/>
  <c r="F71" i="8"/>
  <c r="F76" i="8" s="1"/>
  <c r="D46" i="8"/>
  <c r="C46" i="8"/>
  <c r="C45" i="8"/>
  <c r="D49" i="8"/>
  <c r="C49" i="8"/>
  <c r="I13" i="8"/>
  <c r="I18" i="8" s="1"/>
  <c r="F82" i="8"/>
  <c r="I55" i="8"/>
  <c r="F55" i="8"/>
  <c r="F57" i="8"/>
  <c r="C22" i="8"/>
  <c r="C10" i="8"/>
  <c r="C97" i="8"/>
  <c r="D97" i="8"/>
  <c r="C98" i="8"/>
  <c r="C99" i="8"/>
  <c r="E23" i="8"/>
  <c r="C5" i="8"/>
  <c r="I15" i="8"/>
  <c r="H15" i="8"/>
  <c r="H14" i="8" s="1"/>
  <c r="G15" i="8"/>
  <c r="F15" i="8"/>
  <c r="C15" i="8"/>
  <c r="I46" i="8"/>
  <c r="I45" i="8"/>
  <c r="H46" i="8"/>
  <c r="H45" i="8"/>
  <c r="G46" i="8"/>
  <c r="G45" i="8"/>
  <c r="F46" i="8"/>
  <c r="F45" i="8"/>
  <c r="I113" i="8"/>
  <c r="H113" i="8"/>
  <c r="G113" i="8"/>
  <c r="F113" i="8"/>
  <c r="D113" i="8"/>
  <c r="C113" i="8"/>
  <c r="I72" i="8"/>
  <c r="H72" i="8"/>
  <c r="G72" i="8"/>
  <c r="F72" i="8"/>
  <c r="I40" i="8"/>
  <c r="H40" i="8"/>
  <c r="G40" i="8"/>
  <c r="I49" i="8"/>
  <c r="I44" i="8"/>
  <c r="I43" i="8"/>
  <c r="I39" i="8"/>
  <c r="I38" i="8"/>
  <c r="H49" i="8"/>
  <c r="H48" i="8"/>
  <c r="H44" i="8"/>
  <c r="H43" i="8"/>
  <c r="H39" i="8"/>
  <c r="H38" i="8"/>
  <c r="H37" i="8"/>
  <c r="G37" i="8"/>
  <c r="F37" i="8"/>
  <c r="I110" i="8"/>
  <c r="H110" i="8"/>
  <c r="G110" i="8"/>
  <c r="F110" i="8"/>
  <c r="H108" i="8"/>
  <c r="G108" i="8"/>
  <c r="I96" i="8"/>
  <c r="I102" i="8" s="1"/>
  <c r="H96" i="8"/>
  <c r="H102" i="8" s="1"/>
  <c r="G96" i="8"/>
  <c r="G102" i="8" s="1"/>
  <c r="F96" i="8"/>
  <c r="F102" i="8" s="1"/>
  <c r="I107" i="8"/>
  <c r="H107" i="8"/>
  <c r="G107" i="8"/>
  <c r="F107" i="8"/>
  <c r="H93" i="8"/>
  <c r="G93" i="8"/>
  <c r="I112" i="8"/>
  <c r="H112" i="8"/>
  <c r="G112" i="8"/>
  <c r="I111" i="8"/>
  <c r="H111" i="8"/>
  <c r="G111" i="8"/>
  <c r="I109" i="8"/>
  <c r="H109" i="8"/>
  <c r="G109" i="8"/>
  <c r="I105" i="8"/>
  <c r="I115" i="8" s="1"/>
  <c r="H105" i="8"/>
  <c r="H115" i="8" s="1"/>
  <c r="G105" i="8"/>
  <c r="G115" i="8" s="1"/>
  <c r="F105" i="8"/>
  <c r="I106" i="8"/>
  <c r="H106" i="8"/>
  <c r="G106" i="8"/>
  <c r="F106" i="8"/>
  <c r="I100" i="8"/>
  <c r="H100" i="8"/>
  <c r="G100" i="8"/>
  <c r="F100" i="8"/>
  <c r="I99" i="8"/>
  <c r="H99" i="8"/>
  <c r="G99" i="8"/>
  <c r="F99" i="8"/>
  <c r="I98" i="8"/>
  <c r="H98" i="8"/>
  <c r="G98" i="8"/>
  <c r="F98" i="8"/>
  <c r="I97" i="8"/>
  <c r="H97" i="8"/>
  <c r="G97" i="8"/>
  <c r="F97" i="8"/>
  <c r="I83" i="8"/>
  <c r="C39" i="8"/>
  <c r="C38" i="8"/>
  <c r="C42" i="8"/>
  <c r="H59" i="8"/>
  <c r="I58" i="8"/>
  <c r="I56" i="8"/>
  <c r="I54" i="8"/>
  <c r="I82" i="8"/>
  <c r="I81" i="8"/>
  <c r="I80" i="8"/>
  <c r="I84" i="8" s="1"/>
  <c r="I75" i="8"/>
  <c r="I74" i="8"/>
  <c r="I73" i="8"/>
  <c r="I17" i="8"/>
  <c r="I16" i="8"/>
  <c r="I23" i="8"/>
  <c r="H83" i="8"/>
  <c r="H82" i="8"/>
  <c r="H81" i="8"/>
  <c r="H80" i="8"/>
  <c r="H84" i="8" s="1"/>
  <c r="H75" i="8"/>
  <c r="H74" i="8"/>
  <c r="H73" i="8"/>
  <c r="H17" i="8"/>
  <c r="H16" i="8"/>
  <c r="H23" i="8"/>
  <c r="E105" i="8"/>
  <c r="E115" i="8" s="1"/>
  <c r="E75" i="8"/>
  <c r="E55" i="8"/>
  <c r="E10" i="8"/>
  <c r="G48" i="8"/>
  <c r="G73" i="8"/>
  <c r="F73" i="8"/>
  <c r="E73" i="8"/>
  <c r="E41" i="8"/>
  <c r="D39" i="8"/>
  <c r="F23" i="8"/>
  <c r="F16" i="8"/>
  <c r="F17" i="8"/>
  <c r="G16" i="8"/>
  <c r="G17" i="8"/>
  <c r="G23" i="8"/>
  <c r="F48" i="8"/>
  <c r="F36" i="8"/>
  <c r="F50" i="8" s="1"/>
  <c r="F38" i="8"/>
  <c r="F39" i="8"/>
  <c r="F43" i="8"/>
  <c r="F44" i="8"/>
  <c r="F49" i="8"/>
  <c r="F56" i="8"/>
  <c r="F58" i="8"/>
  <c r="F40" i="8"/>
  <c r="G53" i="8"/>
  <c r="G60" i="8" s="1"/>
  <c r="G54" i="8"/>
  <c r="G55" i="8"/>
  <c r="G56" i="8"/>
  <c r="G58" i="8"/>
  <c r="G59" i="8"/>
  <c r="G36" i="8"/>
  <c r="G50" i="8" s="1"/>
  <c r="G38" i="8"/>
  <c r="G39" i="8"/>
  <c r="G43" i="8"/>
  <c r="G44" i="8"/>
  <c r="G49" i="8"/>
  <c r="E44" i="8"/>
  <c r="E49" i="8"/>
  <c r="E48" i="8"/>
  <c r="E47" i="8"/>
  <c r="E43" i="8"/>
  <c r="E42" i="8"/>
  <c r="E40" i="8"/>
  <c r="E39" i="8"/>
  <c r="E38" i="8"/>
  <c r="E37" i="8"/>
  <c r="E36" i="8"/>
  <c r="E50" i="8" s="1"/>
  <c r="E53" i="8"/>
  <c r="E60" i="8" s="1"/>
  <c r="E16" i="8"/>
  <c r="E17" i="8"/>
  <c r="D16" i="8"/>
  <c r="D17" i="8"/>
  <c r="C16" i="8"/>
  <c r="C17" i="8"/>
  <c r="G83" i="8"/>
  <c r="G80" i="8"/>
  <c r="G84" i="8" s="1"/>
  <c r="G81" i="8"/>
  <c r="G82" i="8"/>
  <c r="G74" i="8"/>
  <c r="G75" i="8"/>
  <c r="F75" i="8"/>
  <c r="F80" i="8"/>
  <c r="F84" i="8" s="1"/>
  <c r="F81" i="8"/>
  <c r="F83" i="8"/>
  <c r="E112" i="8"/>
  <c r="E111" i="8"/>
  <c r="D23" i="8"/>
  <c r="C23" i="8"/>
  <c r="E58" i="8"/>
  <c r="E59" i="8"/>
  <c r="E74" i="8"/>
  <c r="E68" i="8"/>
  <c r="E80" i="8"/>
  <c r="E84" i="8" s="1"/>
  <c r="E81" i="8"/>
  <c r="E82" i="8"/>
  <c r="E83" i="8"/>
  <c r="D81" i="8"/>
  <c r="E97" i="8"/>
  <c r="E102" i="8" s="1"/>
  <c r="E118" i="8" s="1"/>
  <c r="E120" i="8" s="1"/>
  <c r="E121" i="8" s="1"/>
  <c r="E93" i="8"/>
  <c r="E98" i="8"/>
  <c r="E100" i="8"/>
  <c r="E114" i="8"/>
  <c r="E5" i="8"/>
  <c r="D5" i="8"/>
  <c r="G10" i="8"/>
  <c r="G68" i="8"/>
  <c r="E57" i="8"/>
  <c r="H58" i="8"/>
  <c r="E56" i="8"/>
  <c r="H22" i="8"/>
  <c r="G22" i="8"/>
  <c r="E54" i="8"/>
  <c r="I108" i="8"/>
  <c r="H36" i="8"/>
  <c r="H50" i="8" s="1"/>
  <c r="G71" i="8"/>
  <c r="G76" i="8" s="1"/>
  <c r="H71" i="8"/>
  <c r="H76" i="8" s="1"/>
  <c r="E71" i="8"/>
  <c r="E76" i="8" s="1"/>
  <c r="H68" i="8"/>
  <c r="H47" i="8"/>
  <c r="G47" i="8"/>
  <c r="I48" i="8"/>
  <c r="H57" i="8"/>
  <c r="H56" i="8"/>
  <c r="H54" i="8"/>
  <c r="H55" i="8"/>
  <c r="H13" i="8"/>
  <c r="H18" i="8" s="1"/>
  <c r="H53" i="8"/>
  <c r="H60" i="8" s="1"/>
  <c r="G13" i="8"/>
  <c r="G18" i="8" s="1"/>
  <c r="G21" i="8"/>
  <c r="G24" i="8" s="1"/>
  <c r="I22" i="8"/>
  <c r="H10" i="8"/>
  <c r="G57" i="8"/>
  <c r="G14" i="8"/>
  <c r="H21" i="8"/>
  <c r="H24" i="8" s="1"/>
  <c r="E33" i="8"/>
  <c r="G33" i="8"/>
  <c r="H33" i="8"/>
  <c r="I14" i="8"/>
  <c r="I71" i="8"/>
  <c r="I76" i="8" s="1"/>
  <c r="I68" i="8"/>
  <c r="F54" i="8"/>
  <c r="I47" i="8"/>
  <c r="I10" i="8"/>
  <c r="I93" i="8"/>
  <c r="I21" i="8"/>
  <c r="I24" i="8" s="1"/>
  <c r="F53" i="8"/>
  <c r="F60" i="8" s="1"/>
  <c r="F22" i="8"/>
  <c r="F111" i="8"/>
  <c r="F59" i="8"/>
  <c r="F74" i="8"/>
  <c r="F112" i="8"/>
  <c r="D38" i="8"/>
  <c r="F47" i="8"/>
  <c r="C56" i="8"/>
  <c r="I53" i="8"/>
  <c r="I60" i="8" s="1"/>
  <c r="I36" i="8"/>
  <c r="I50" i="8" s="1"/>
  <c r="D15" i="8"/>
  <c r="D106" i="8"/>
  <c r="C13" i="8"/>
  <c r="C47" i="8"/>
  <c r="D110" i="8"/>
  <c r="C110" i="8"/>
  <c r="C37" i="8"/>
  <c r="D45" i="8"/>
  <c r="D42" i="8"/>
  <c r="D99" i="8"/>
  <c r="D98" i="8"/>
  <c r="D105" i="8"/>
  <c r="D115" i="8" s="1"/>
  <c r="F68" i="8"/>
  <c r="I59" i="8"/>
  <c r="C58" i="8"/>
  <c r="I37" i="8"/>
  <c r="C44" i="8"/>
  <c r="F108" i="8"/>
  <c r="D37" i="8"/>
  <c r="F33" i="8"/>
  <c r="D40" i="8"/>
  <c r="E13" i="8"/>
  <c r="E18" i="8" s="1"/>
  <c r="C40" i="8"/>
  <c r="D44" i="8"/>
  <c r="F109" i="8"/>
  <c r="F115" i="8"/>
  <c r="D56" i="8"/>
  <c r="I57" i="8"/>
  <c r="D58" i="8"/>
  <c r="F93" i="8"/>
  <c r="I33" i="8"/>
  <c r="E22" i="8"/>
  <c r="C48" i="8"/>
  <c r="C43" i="8"/>
  <c r="C33" i="8"/>
  <c r="D22" i="8"/>
  <c r="D68" i="8"/>
  <c r="D80" i="8"/>
  <c r="D84" i="8" s="1"/>
  <c r="D83" i="8"/>
  <c r="D107" i="8"/>
  <c r="C100" i="8"/>
  <c r="D13" i="8"/>
  <c r="D18" i="8" s="1"/>
  <c r="D10" i="8"/>
  <c r="C41" i="8"/>
  <c r="D43" i="8"/>
  <c r="D41" i="8"/>
  <c r="D36" i="8"/>
  <c r="D50" i="8" s="1"/>
  <c r="D33" i="8"/>
  <c r="C36" i="8"/>
  <c r="C50" i="8" s="1"/>
  <c r="C53" i="8"/>
  <c r="C55" i="8"/>
  <c r="D73" i="8"/>
  <c r="D71" i="8"/>
  <c r="D76" i="8" s="1"/>
  <c r="C96" i="8"/>
  <c r="C102" i="8" s="1"/>
  <c r="D100" i="8"/>
  <c r="D96" i="8"/>
  <c r="D102" i="8" s="1"/>
  <c r="D93" i="8"/>
  <c r="C93" i="8"/>
  <c r="F13" i="8"/>
  <c r="F18" i="8" s="1"/>
  <c r="F21" i="8"/>
  <c r="F24" i="8" s="1"/>
  <c r="F10" i="8"/>
  <c r="E21" i="8"/>
  <c r="E24" i="8" s="1"/>
  <c r="D48" i="8"/>
  <c r="D54" i="8"/>
  <c r="D57" i="8"/>
  <c r="D109" i="8"/>
  <c r="C109" i="8"/>
  <c r="C107" i="8"/>
  <c r="B24" i="9"/>
  <c r="B21" i="9" s="1"/>
  <c r="C21" i="9"/>
  <c r="C26" i="9" s="1"/>
  <c r="C16" i="9"/>
  <c r="B12" i="9"/>
  <c r="B16" i="9" s="1"/>
  <c r="B14" i="9"/>
  <c r="B15" i="9"/>
  <c r="B4" i="9"/>
  <c r="B8" i="9" s="1"/>
  <c r="B5" i="9"/>
  <c r="D5" i="9" s="1"/>
  <c r="B6" i="9"/>
  <c r="D6" i="9" s="1"/>
  <c r="C8" i="9"/>
  <c r="D7" i="9"/>
  <c r="C83" i="8"/>
  <c r="C73" i="8"/>
  <c r="D53" i="8"/>
  <c r="D60" i="8" s="1"/>
  <c r="D55" i="8"/>
  <c r="B6" i="10"/>
  <c r="F14" i="10"/>
  <c r="E7" i="10"/>
  <c r="E12" i="10" s="1"/>
  <c r="E8" i="10"/>
  <c r="E9" i="10"/>
  <c r="E10" i="10"/>
  <c r="C7" i="10"/>
  <c r="C8" i="10"/>
  <c r="C9" i="10"/>
  <c r="C10" i="10"/>
  <c r="C12" i="10"/>
  <c r="N4" i="12"/>
  <c r="P4" i="12" s="1"/>
  <c r="C5" i="12"/>
  <c r="N5" i="12" s="1"/>
  <c r="P5" i="12" s="1"/>
  <c r="Q5" i="12" s="1"/>
  <c r="R5" i="12" s="1"/>
  <c r="K5" i="12"/>
  <c r="E6" i="12"/>
  <c r="F6" i="12" s="1"/>
  <c r="G6" i="12" s="1"/>
  <c r="L6" i="12" s="1"/>
  <c r="K6" i="12"/>
  <c r="N6" i="12"/>
  <c r="P6" i="12" s="1"/>
  <c r="Q6" i="12" s="1"/>
  <c r="R6" i="12" s="1"/>
  <c r="C7" i="12"/>
  <c r="E7" i="12" s="1"/>
  <c r="K7" i="12"/>
  <c r="E8" i="12"/>
  <c r="F8" i="12" s="1"/>
  <c r="G8" i="12" s="1"/>
  <c r="L8" i="12" s="1"/>
  <c r="K8" i="12"/>
  <c r="N8" i="12"/>
  <c r="P8" i="12" s="1"/>
  <c r="Q8" i="12" s="1"/>
  <c r="C9" i="12"/>
  <c r="E9" i="12" s="1"/>
  <c r="K9" i="12"/>
  <c r="E10" i="12"/>
  <c r="F10" i="12" s="1"/>
  <c r="G10" i="12" s="1"/>
  <c r="L10" i="12" s="1"/>
  <c r="K10" i="12"/>
  <c r="N10" i="12"/>
  <c r="P10" i="12" s="1"/>
  <c r="C11" i="12"/>
  <c r="N11" i="12" s="1"/>
  <c r="P11" i="12" s="1"/>
  <c r="Q11" i="12" s="1"/>
  <c r="K11" i="12"/>
  <c r="E12" i="12"/>
  <c r="F12" i="12" s="1"/>
  <c r="G12" i="12" s="1"/>
  <c r="L12" i="12" s="1"/>
  <c r="K12" i="12"/>
  <c r="N12" i="12"/>
  <c r="P12" i="12" s="1"/>
  <c r="Q12" i="12" s="1"/>
  <c r="R12" i="12" s="1"/>
  <c r="C13" i="12"/>
  <c r="E13" i="12" s="1"/>
  <c r="K13" i="12"/>
  <c r="E14" i="12"/>
  <c r="F14" i="12" s="1"/>
  <c r="K14" i="12"/>
  <c r="N14" i="12"/>
  <c r="P14" i="12" s="1"/>
  <c r="C15" i="12"/>
  <c r="N15" i="12" s="1"/>
  <c r="P15" i="12" s="1"/>
  <c r="K15" i="12"/>
  <c r="E16" i="12"/>
  <c r="F16" i="12" s="1"/>
  <c r="K16" i="12"/>
  <c r="N16" i="12"/>
  <c r="P16" i="12" s="1"/>
  <c r="C17" i="12"/>
  <c r="E17" i="12" s="1"/>
  <c r="K17" i="12"/>
  <c r="E18" i="12"/>
  <c r="F18" i="12" s="1"/>
  <c r="K18" i="12"/>
  <c r="N18" i="12"/>
  <c r="P18" i="12" s="1"/>
  <c r="Q18" i="12" s="1"/>
  <c r="R18" i="12" s="1"/>
  <c r="C19" i="12"/>
  <c r="E19" i="12" s="1"/>
  <c r="F19" i="12" s="1"/>
  <c r="G19" i="12" s="1"/>
  <c r="L19" i="12" s="1"/>
  <c r="K19" i="12"/>
  <c r="E20" i="12"/>
  <c r="F20" i="12" s="1"/>
  <c r="G20" i="12" s="1"/>
  <c r="L20" i="12" s="1"/>
  <c r="K20" i="12"/>
  <c r="N20" i="12"/>
  <c r="P20" i="12" s="1"/>
  <c r="C21" i="12"/>
  <c r="N21" i="12" s="1"/>
  <c r="P21" i="12" s="1"/>
  <c r="K21" i="12"/>
  <c r="E22" i="12"/>
  <c r="F22" i="12" s="1"/>
  <c r="K22" i="12"/>
  <c r="N22" i="12"/>
  <c r="P22" i="12" s="1"/>
  <c r="C23" i="12"/>
  <c r="E23" i="12" s="1"/>
  <c r="K23" i="12"/>
  <c r="E24" i="12"/>
  <c r="K24" i="12"/>
  <c r="N24" i="12"/>
  <c r="P24" i="12" s="1"/>
  <c r="I26" i="12"/>
  <c r="J26" i="12"/>
  <c r="N31" i="12"/>
  <c r="P31" i="12" s="1"/>
  <c r="C32" i="12"/>
  <c r="N32" i="12" s="1"/>
  <c r="P32" i="12" s="1"/>
  <c r="K32" i="12"/>
  <c r="E33" i="12"/>
  <c r="F33" i="12" s="1"/>
  <c r="G33" i="12" s="1"/>
  <c r="L33" i="12" s="1"/>
  <c r="K33" i="12"/>
  <c r="N33" i="12"/>
  <c r="P33" i="12" s="1"/>
  <c r="C34" i="12"/>
  <c r="E34" i="12" s="1"/>
  <c r="K34" i="12"/>
  <c r="E35" i="12"/>
  <c r="F35" i="12" s="1"/>
  <c r="K35" i="12"/>
  <c r="N35" i="12"/>
  <c r="P35" i="12" s="1"/>
  <c r="C36" i="12"/>
  <c r="E36" i="12" s="1"/>
  <c r="K36" i="12"/>
  <c r="E37" i="12"/>
  <c r="F37" i="12" s="1"/>
  <c r="G37" i="12" s="1"/>
  <c r="L37" i="12" s="1"/>
  <c r="K37" i="12"/>
  <c r="N37" i="12"/>
  <c r="P37" i="12"/>
  <c r="Q37" i="12" s="1"/>
  <c r="R37" i="12" s="1"/>
  <c r="C38" i="12"/>
  <c r="N38" i="12" s="1"/>
  <c r="P38" i="12" s="1"/>
  <c r="K38" i="12"/>
  <c r="E39" i="12"/>
  <c r="F39" i="12" s="1"/>
  <c r="G39" i="12" s="1"/>
  <c r="L39" i="12" s="1"/>
  <c r="K39" i="12"/>
  <c r="N39" i="12"/>
  <c r="P39" i="12" s="1"/>
  <c r="Q39" i="12" s="1"/>
  <c r="C40" i="12"/>
  <c r="E40" i="12" s="1"/>
  <c r="K40" i="12"/>
  <c r="E41" i="12"/>
  <c r="F41" i="12" s="1"/>
  <c r="G41" i="12" s="1"/>
  <c r="L41" i="12" s="1"/>
  <c r="K41" i="12"/>
  <c r="N41" i="12"/>
  <c r="P41" i="12" s="1"/>
  <c r="Q41" i="12" s="1"/>
  <c r="R41" i="12" s="1"/>
  <c r="C42" i="12"/>
  <c r="N42" i="12" s="1"/>
  <c r="P42" i="12" s="1"/>
  <c r="K42" i="12"/>
  <c r="E43" i="12"/>
  <c r="F43" i="12" s="1"/>
  <c r="K43" i="12"/>
  <c r="N43" i="12"/>
  <c r="P43" i="12" s="1"/>
  <c r="C44" i="12"/>
  <c r="E44" i="12" s="1"/>
  <c r="F44" i="12" s="1"/>
  <c r="G44" i="12" s="1"/>
  <c r="L44" i="12" s="1"/>
  <c r="N44" i="12"/>
  <c r="P44" i="12" s="1"/>
  <c r="Q44" i="12" s="1"/>
  <c r="R44" i="12" s="1"/>
  <c r="K44" i="12"/>
  <c r="E45" i="12"/>
  <c r="F45" i="12" s="1"/>
  <c r="K45" i="12"/>
  <c r="N45" i="12"/>
  <c r="P45" i="12" s="1"/>
  <c r="C46" i="12"/>
  <c r="N46" i="12" s="1"/>
  <c r="P46" i="12" s="1"/>
  <c r="K46" i="12"/>
  <c r="E47" i="12"/>
  <c r="F47" i="12"/>
  <c r="G47" i="12" s="1"/>
  <c r="L47" i="12" s="1"/>
  <c r="K47" i="12"/>
  <c r="N47" i="12"/>
  <c r="P47" i="12" s="1"/>
  <c r="C48" i="12"/>
  <c r="E48" i="12" s="1"/>
  <c r="K48" i="12"/>
  <c r="E49" i="12"/>
  <c r="F49" i="12"/>
  <c r="G49" i="12" s="1"/>
  <c r="L49" i="12" s="1"/>
  <c r="K49" i="12"/>
  <c r="N49" i="12"/>
  <c r="P49" i="12" s="1"/>
  <c r="C50" i="12"/>
  <c r="N50" i="12" s="1"/>
  <c r="P50" i="12" s="1"/>
  <c r="K50" i="12"/>
  <c r="E51" i="12"/>
  <c r="K51" i="12"/>
  <c r="N51" i="12"/>
  <c r="P51" i="12" s="1"/>
  <c r="I53" i="12"/>
  <c r="J53" i="12"/>
  <c r="N9" i="12"/>
  <c r="P9" i="12" s="1"/>
  <c r="F14" i="8"/>
  <c r="D21" i="8"/>
  <c r="D24" i="8" s="1"/>
  <c r="E14" i="8"/>
  <c r="C14" i="8"/>
  <c r="A3" i="8"/>
  <c r="C59" i="8"/>
  <c r="B8" i="10"/>
  <c r="D59" i="8"/>
  <c r="D108" i="8"/>
  <c r="N34" i="12"/>
  <c r="P34" i="12" s="1"/>
  <c r="C108" i="8"/>
  <c r="B10" i="10"/>
  <c r="B7" i="10"/>
  <c r="B12" i="10" s="1"/>
  <c r="B28" i="10" s="1"/>
  <c r="B32" i="10" s="1"/>
  <c r="F51" i="12"/>
  <c r="E10" i="6"/>
  <c r="F10" i="6" s="1"/>
  <c r="D14" i="8"/>
  <c r="E11" i="12"/>
  <c r="F11" i="12" s="1"/>
  <c r="C52" i="6"/>
  <c r="F26" i="6"/>
  <c r="F24" i="12"/>
  <c r="G24" i="12" s="1"/>
  <c r="L24" i="12" s="1"/>
  <c r="D136" i="7"/>
  <c r="H44" i="20"/>
  <c r="E15" i="12" l="1"/>
  <c r="F15" i="12" s="1"/>
  <c r="G15" i="12" s="1"/>
  <c r="L15" i="12" s="1"/>
  <c r="D46" i="20"/>
  <c r="D50" i="20" s="1"/>
  <c r="D4" i="9"/>
  <c r="D8" i="9" s="1"/>
  <c r="F138" i="7"/>
  <c r="F14" i="6"/>
  <c r="F35" i="6"/>
  <c r="F118" i="8"/>
  <c r="F120" i="8" s="1"/>
  <c r="F121" i="8" s="1"/>
  <c r="K53" i="12"/>
  <c r="N13" i="12"/>
  <c r="P13" i="12" s="1"/>
  <c r="Q13" i="12" s="1"/>
  <c r="R13" i="12" s="1"/>
  <c r="F22" i="6"/>
  <c r="E38" i="20"/>
  <c r="E46" i="20" s="1"/>
  <c r="E50" i="20" s="1"/>
  <c r="F7" i="12"/>
  <c r="G7" i="12" s="1"/>
  <c r="L7" i="12" s="1"/>
  <c r="K26" i="12"/>
  <c r="I118" i="8"/>
  <c r="I120" i="8" s="1"/>
  <c r="I121" i="8" s="1"/>
  <c r="E42" i="12"/>
  <c r="F42" i="12" s="1"/>
  <c r="N19" i="12"/>
  <c r="P19" i="12" s="1"/>
  <c r="Q19" i="12" s="1"/>
  <c r="N17" i="12"/>
  <c r="P17" i="12" s="1"/>
  <c r="N7" i="12"/>
  <c r="P7" i="12" s="1"/>
  <c r="Q7" i="12" s="1"/>
  <c r="E5" i="12"/>
  <c r="D24" i="6"/>
  <c r="D54" i="6" s="1"/>
  <c r="G51" i="12"/>
  <c r="L51" i="12" s="1"/>
  <c r="N48" i="12"/>
  <c r="P48" i="12" s="1"/>
  <c r="E32" i="12"/>
  <c r="G118" i="8"/>
  <c r="G120" i="8" s="1"/>
  <c r="G121" i="8" s="1"/>
  <c r="H118" i="8"/>
  <c r="H120" i="8" s="1"/>
  <c r="H121" i="8" s="1"/>
  <c r="C24" i="6"/>
  <c r="C54" i="6" s="1"/>
  <c r="F43" i="6"/>
  <c r="F52" i="6" s="1"/>
  <c r="C118" i="8"/>
  <c r="C120" i="8" s="1"/>
  <c r="C121" i="8" s="1"/>
  <c r="C34" i="2"/>
  <c r="C44" i="2" s="1"/>
  <c r="C48" i="2" s="1"/>
  <c r="Q24" i="12"/>
  <c r="R24" i="12" s="1"/>
  <c r="F13" i="12"/>
  <c r="G13" i="12" s="1"/>
  <c r="L13" i="12" s="1"/>
  <c r="Q32" i="12"/>
  <c r="R32" i="12" s="1"/>
  <c r="Q33" i="12"/>
  <c r="R33" i="12" s="1"/>
  <c r="Q10" i="12"/>
  <c r="R10" i="12" s="1"/>
  <c r="Q42" i="12"/>
  <c r="R42" i="12" s="1"/>
  <c r="F36" i="12"/>
  <c r="G36" i="12" s="1"/>
  <c r="L36" i="12" s="1"/>
  <c r="Q21" i="12"/>
  <c r="R21" i="12" s="1"/>
  <c r="B26" i="9"/>
  <c r="B13" i="9"/>
  <c r="Q51" i="12"/>
  <c r="R51" i="12" s="1"/>
  <c r="Q46" i="12"/>
  <c r="R46" i="12" s="1"/>
  <c r="Q35" i="12"/>
  <c r="R35" i="12" s="1"/>
  <c r="Q20" i="12"/>
  <c r="R20" i="12" s="1"/>
  <c r="Q15" i="12"/>
  <c r="R15" i="12" s="1"/>
  <c r="D10" i="10"/>
  <c r="Q9" i="12"/>
  <c r="R9" i="12" s="1"/>
  <c r="Q48" i="12"/>
  <c r="R48" i="12" s="1"/>
  <c r="Q45" i="12"/>
  <c r="R45" i="12" s="1"/>
  <c r="Q43" i="12"/>
  <c r="R43" i="12" s="1"/>
  <c r="Q38" i="12"/>
  <c r="R38" i="12" s="1"/>
  <c r="F9" i="12"/>
  <c r="G9" i="12" s="1"/>
  <c r="L9" i="12" s="1"/>
  <c r="F23" i="12"/>
  <c r="G23" i="12" s="1"/>
  <c r="L23" i="12" s="1"/>
  <c r="Q14" i="12"/>
  <c r="R14" i="12" s="1"/>
  <c r="F48" i="12"/>
  <c r="G48" i="12" s="1"/>
  <c r="L48" i="12" s="1"/>
  <c r="Q47" i="12"/>
  <c r="R47" i="12" s="1"/>
  <c r="F17" i="12"/>
  <c r="G17" i="12" s="1"/>
  <c r="L17" i="12" s="1"/>
  <c r="Q50" i="12"/>
  <c r="R50" i="12" s="1"/>
  <c r="F40" i="12"/>
  <c r="G40" i="12" s="1"/>
  <c r="L40" i="12" s="1"/>
  <c r="Q31" i="12"/>
  <c r="P53" i="12"/>
  <c r="Q22" i="12"/>
  <c r="R22" i="12" s="1"/>
  <c r="Q4" i="12"/>
  <c r="Q26" i="12" s="1"/>
  <c r="P26" i="12"/>
  <c r="Q34" i="12"/>
  <c r="R34" i="12" s="1"/>
  <c r="Q49" i="12"/>
  <c r="R49" i="12" s="1"/>
  <c r="F34" i="12"/>
  <c r="G34" i="12" s="1"/>
  <c r="L34" i="12" s="1"/>
  <c r="Q16" i="12"/>
  <c r="R16" i="12" s="1"/>
  <c r="D118" i="8"/>
  <c r="D120" i="8" s="1"/>
  <c r="D121" i="8" s="1"/>
  <c r="G11" i="12"/>
  <c r="L11" i="12" s="1"/>
  <c r="E38" i="12"/>
  <c r="G18" i="12"/>
  <c r="L18" i="12" s="1"/>
  <c r="N40" i="12"/>
  <c r="P40" i="12" s="1"/>
  <c r="N23" i="12"/>
  <c r="P23" i="12" s="1"/>
  <c r="E21" i="12"/>
  <c r="E24" i="6"/>
  <c r="R19" i="12"/>
  <c r="G45" i="12"/>
  <c r="L45" i="12" s="1"/>
  <c r="G14" i="12"/>
  <c r="L14" i="12" s="1"/>
  <c r="G16" i="12"/>
  <c r="L16" i="12" s="1"/>
  <c r="E50" i="12"/>
  <c r="G35" i="12"/>
  <c r="L35" i="12" s="1"/>
  <c r="E46" i="12"/>
  <c r="N36" i="12"/>
  <c r="P36" i="12" s="1"/>
  <c r="R11" i="12"/>
  <c r="R8" i="12"/>
  <c r="G22" i="12"/>
  <c r="L22" i="12" s="1"/>
  <c r="E52" i="6"/>
  <c r="G43" i="12"/>
  <c r="L43" i="12" s="1"/>
  <c r="F11" i="6"/>
  <c r="R39" i="12"/>
  <c r="C31" i="4"/>
  <c r="C35" i="4" s="1"/>
  <c r="G46" i="20"/>
  <c r="G50" i="20" s="1"/>
  <c r="C38" i="20"/>
  <c r="C46" i="20" s="1"/>
  <c r="C50" i="20" s="1"/>
  <c r="C123" i="7"/>
  <c r="C131" i="7" s="1"/>
  <c r="C138" i="7" s="1"/>
  <c r="C142" i="7" s="1"/>
  <c r="C86" i="8"/>
  <c r="C88" i="8" s="1"/>
  <c r="C89" i="8" s="1"/>
  <c r="E62" i="8"/>
  <c r="E64" i="8" s="1"/>
  <c r="E65" i="8" s="1"/>
  <c r="H62" i="8"/>
  <c r="H64" i="8" s="1"/>
  <c r="H65" i="8" s="1"/>
  <c r="I62" i="8"/>
  <c r="I64" i="8" s="1"/>
  <c r="I65" i="8" s="1"/>
  <c r="E123" i="7"/>
  <c r="E138" i="7" s="1"/>
  <c r="G62" i="8"/>
  <c r="G64" i="8" s="1"/>
  <c r="G65" i="8" s="1"/>
  <c r="F62" i="8"/>
  <c r="F64" i="8" s="1"/>
  <c r="F65" i="8" s="1"/>
  <c r="C60" i="8"/>
  <c r="C62" i="8" s="1"/>
  <c r="C64" i="8" s="1"/>
  <c r="C65" i="8" s="1"/>
  <c r="D62" i="8"/>
  <c r="D64" i="8" s="1"/>
  <c r="D65" i="8" s="1"/>
  <c r="D108" i="7"/>
  <c r="F38" i="20"/>
  <c r="F46" i="20" s="1"/>
  <c r="F50" i="20" s="1"/>
  <c r="I38" i="20"/>
  <c r="I46" i="20" s="1"/>
  <c r="D86" i="8"/>
  <c r="D88" i="8" s="1"/>
  <c r="D89" i="8" s="1"/>
  <c r="E86" i="8"/>
  <c r="E88" i="8" s="1"/>
  <c r="E89" i="8" s="1"/>
  <c r="E31" i="4"/>
  <c r="E35" i="4" s="1"/>
  <c r="G86" i="8"/>
  <c r="G88" i="8" s="1"/>
  <c r="F9" i="10" s="1"/>
  <c r="F86" i="8"/>
  <c r="F88" i="8" s="1"/>
  <c r="D9" i="10" s="1"/>
  <c r="I86" i="8"/>
  <c r="I88" i="8" s="1"/>
  <c r="I89" i="8" s="1"/>
  <c r="H86" i="8"/>
  <c r="H88" i="8" s="1"/>
  <c r="H89" i="8" s="1"/>
  <c r="E34" i="2"/>
  <c r="E44" i="2" s="1"/>
  <c r="C18" i="8"/>
  <c r="C26" i="8" s="1"/>
  <c r="C28" i="8" s="1"/>
  <c r="C29" i="8" s="1"/>
  <c r="F26" i="8"/>
  <c r="F28" i="8" s="1"/>
  <c r="F29" i="8" s="1"/>
  <c r="H26" i="8"/>
  <c r="H28" i="8" s="1"/>
  <c r="H29" i="8" s="1"/>
  <c r="D26" i="8"/>
  <c r="D28" i="8" s="1"/>
  <c r="D29" i="8" s="1"/>
  <c r="G26" i="8"/>
  <c r="G28" i="8" s="1"/>
  <c r="E26" i="8"/>
  <c r="E28" i="8" s="1"/>
  <c r="E29" i="8" s="1"/>
  <c r="I26" i="8"/>
  <c r="I28" i="8" s="1"/>
  <c r="I29" i="8" s="1"/>
  <c r="D121" i="7"/>
  <c r="D86" i="7"/>
  <c r="H16" i="20"/>
  <c r="D31" i="4"/>
  <c r="D33" i="2"/>
  <c r="D34" i="2" s="1"/>
  <c r="D44" i="2" s="1"/>
  <c r="G42" i="12" l="1"/>
  <c r="L42" i="12" s="1"/>
  <c r="F24" i="6"/>
  <c r="F54" i="6" s="1"/>
  <c r="F58" i="6" s="1"/>
  <c r="Q53" i="12"/>
  <c r="F10" i="10"/>
  <c r="Q17" i="12"/>
  <c r="R17" i="12" s="1"/>
  <c r="E53" i="12"/>
  <c r="F32" i="12"/>
  <c r="F53" i="12" s="1"/>
  <c r="R7" i="12"/>
  <c r="R31" i="12"/>
  <c r="R53" i="12" s="1"/>
  <c r="E26" i="12"/>
  <c r="F5" i="12"/>
  <c r="Q23" i="12"/>
  <c r="R23" i="12" s="1"/>
  <c r="Q40" i="12"/>
  <c r="R40" i="12" s="1"/>
  <c r="F50" i="12"/>
  <c r="G50" i="12" s="1"/>
  <c r="L50" i="12" s="1"/>
  <c r="F38" i="12"/>
  <c r="G38" i="12" s="1"/>
  <c r="L38" i="12" s="1"/>
  <c r="R4" i="12"/>
  <c r="R26" i="12" s="1"/>
  <c r="Q36" i="12"/>
  <c r="R36" i="12" s="1"/>
  <c r="E142" i="7"/>
  <c r="F142" i="7" s="1"/>
  <c r="D140" i="7"/>
  <c r="F46" i="12"/>
  <c r="G46" i="12" s="1"/>
  <c r="L46" i="12" s="1"/>
  <c r="E54" i="6"/>
  <c r="F21" i="12"/>
  <c r="G21" i="12" s="1"/>
  <c r="L21" i="12" s="1"/>
  <c r="I50" i="20"/>
  <c r="J50" i="20" s="1"/>
  <c r="H48" i="20"/>
  <c r="D46" i="2"/>
  <c r="D48" i="2" s="1"/>
  <c r="E48" i="2"/>
  <c r="F48" i="2" s="1"/>
  <c r="G48" i="2" s="1"/>
  <c r="D33" i="4"/>
  <c r="D35" i="4" s="1"/>
  <c r="F8" i="10"/>
  <c r="D8" i="10"/>
  <c r="F89" i="8"/>
  <c r="G89" i="8"/>
  <c r="D7" i="10"/>
  <c r="D12" i="10" s="1"/>
  <c r="D13" i="10" s="1"/>
  <c r="F7" i="10"/>
  <c r="F12" i="10" s="1"/>
  <c r="F13" i="10" s="1"/>
  <c r="G29" i="8"/>
  <c r="D123" i="7"/>
  <c r="H38" i="20"/>
  <c r="H46" i="20" s="1"/>
  <c r="G32" i="12" l="1"/>
  <c r="G53" i="12" s="1"/>
  <c r="L32" i="12"/>
  <c r="L53" i="12" s="1"/>
  <c r="F26" i="12"/>
  <c r="G5" i="12"/>
  <c r="D131" i="7"/>
  <c r="D138" i="7" s="1"/>
  <c r="D142" i="7" s="1"/>
  <c r="H50" i="20"/>
  <c r="L5" i="12" l="1"/>
  <c r="L26" i="12" s="1"/>
  <c r="G26" i="12"/>
</calcChain>
</file>

<file path=xl/sharedStrings.xml><?xml version="1.0" encoding="utf-8"?>
<sst xmlns="http://schemas.openxmlformats.org/spreadsheetml/2006/main" count="635" uniqueCount="454">
  <si>
    <t>Property Taxes</t>
    <phoneticPr fontId="23" type="noConversion"/>
  </si>
  <si>
    <t>Excess Revenue Over (Under) Expenditures</t>
    <phoneticPr fontId="23" type="noConversion"/>
  </si>
  <si>
    <t>Repair &amp; Maint-Golf Course Well</t>
  </si>
  <si>
    <t>Copier Lease and Equipment</t>
  </si>
  <si>
    <t>4-500409</t>
  </si>
  <si>
    <t>Software Maintenance</t>
  </si>
  <si>
    <t>4-506022</t>
  </si>
  <si>
    <t>2-423200</t>
  </si>
  <si>
    <t>2-500351</t>
  </si>
  <si>
    <t>2-555304</t>
  </si>
  <si>
    <t>OTHER FINANCING SOURCES (USES)</t>
  </si>
  <si>
    <t>Professional Fees / GIS</t>
  </si>
  <si>
    <t>Project Labor Reimbursement</t>
  </si>
  <si>
    <t>Capital Project Reimbursement</t>
  </si>
  <si>
    <t>2010 ADOPTED BUDGET - Summary</t>
  </si>
  <si>
    <t>2nd Amended Budget &amp; Estimate</t>
  </si>
  <si>
    <t>4-446000</t>
  </si>
  <si>
    <t>4-500362</t>
  </si>
  <si>
    <t>Clothing Allowance</t>
  </si>
  <si>
    <t>4-503310</t>
  </si>
  <si>
    <t>Trustee/Paying Agent Fee</t>
  </si>
  <si>
    <t>Shop Supplies</t>
  </si>
  <si>
    <t>4-420061</t>
  </si>
  <si>
    <t>4-503010</t>
  </si>
  <si>
    <t>4-503331</t>
  </si>
  <si>
    <t>Retail Water Meter Parts</t>
  </si>
  <si>
    <t>4-530201</t>
  </si>
  <si>
    <t>Utility Maintenance Tools</t>
  </si>
  <si>
    <t>Transfer In from Capital Projects</t>
  </si>
  <si>
    <t>Contingency</t>
  </si>
  <si>
    <t>Property Taxes - GF</t>
  </si>
  <si>
    <t>2-552605</t>
  </si>
  <si>
    <t>2-552610</t>
  </si>
  <si>
    <t>2-555305</t>
  </si>
  <si>
    <t>4-420060</t>
  </si>
  <si>
    <t>Transfer Fee</t>
  </si>
  <si>
    <t>2-552500</t>
  </si>
  <si>
    <t>4-500451</t>
  </si>
  <si>
    <t>Repairs &amp; Maint - Pump Houses</t>
  </si>
  <si>
    <t>Repair &amp; Maint - Lift Stations</t>
  </si>
  <si>
    <t>Payroll-Gross Summer Help</t>
  </si>
  <si>
    <t>Repairs &amp; Maint-Well No. 17 &amp; 18</t>
  </si>
  <si>
    <t>Shumei BS / Cottonwood Apt</t>
  </si>
  <si>
    <t>Mobile Home Estates LS</t>
  </si>
  <si>
    <t>Office / Cell Phones</t>
  </si>
  <si>
    <t>4-503300</t>
  </si>
  <si>
    <t>4-506020</t>
  </si>
  <si>
    <t>Water Treatment Chemicals</t>
  </si>
  <si>
    <t>Waste Water Treatment Chemicals</t>
  </si>
  <si>
    <t>State Revolving Fund Loan</t>
  </si>
  <si>
    <t>Bond Projects</t>
  </si>
  <si>
    <t>SRF Projects</t>
  </si>
  <si>
    <t>Preliminary Capital Outlay</t>
  </si>
  <si>
    <t>Proposed 2009 GO -Principal</t>
  </si>
  <si>
    <t>Proposed 2009 GO -Interest</t>
  </si>
  <si>
    <t>Prof. Fees Proj. Costs</t>
  </si>
  <si>
    <t>Fire Extinguisher Service</t>
  </si>
  <si>
    <t>Repairs &amp; Maint-Sewer</t>
  </si>
  <si>
    <t>Vehicle Loan Proceeds</t>
  </si>
  <si>
    <t>4-500662</t>
  </si>
  <si>
    <t>Vehicle-Repairs and Maint</t>
  </si>
  <si>
    <t>4-500663</t>
  </si>
  <si>
    <t>Accounting</t>
  </si>
  <si>
    <t>2-420101</t>
  </si>
  <si>
    <t>2009 6%</t>
  </si>
  <si>
    <t>2009 8%</t>
  </si>
  <si>
    <t>Reduction in net proceeds</t>
  </si>
  <si>
    <t>2009 Reduction</t>
  </si>
  <si>
    <t>2009 reduction due to Increase in interest expense</t>
  </si>
  <si>
    <t>AV Projection</t>
  </si>
  <si>
    <t>Casita Park Interconnect</t>
  </si>
  <si>
    <t>Transfer from Enterprise Fund</t>
  </si>
  <si>
    <t>Lien Releases</t>
  </si>
  <si>
    <t>Total Budget Fund Balance</t>
  </si>
  <si>
    <t>Hook-up/Inspection Fees</t>
  </si>
  <si>
    <t>Property &amp; SO Taxes</t>
  </si>
  <si>
    <t>Amended Budget</t>
  </si>
  <si>
    <t>1-699000</t>
  </si>
  <si>
    <t>2-423000</t>
  </si>
  <si>
    <t>2-432000</t>
  </si>
  <si>
    <t>2-446000</t>
  </si>
  <si>
    <t>CWR Grant</t>
  </si>
  <si>
    <t>2009 GO Bond Proceeds</t>
  </si>
  <si>
    <t>3-517055</t>
  </si>
  <si>
    <t>Waste Water Service Line Reimb</t>
  </si>
  <si>
    <t>ENTERPRISE FUND</t>
  </si>
  <si>
    <t>Operations</t>
  </si>
  <si>
    <t>4-500355</t>
  </si>
  <si>
    <t>4-500359</t>
  </si>
  <si>
    <t>Mileage Reimbursement</t>
  </si>
  <si>
    <t>4-500401</t>
  </si>
  <si>
    <t>4-500402</t>
  </si>
  <si>
    <t>4-500406</t>
  </si>
  <si>
    <t>Phone Answering Service</t>
  </si>
  <si>
    <t>4-500520</t>
  </si>
  <si>
    <t>Total Operations</t>
  </si>
  <si>
    <t>Total Repairs &amp; Maintenance</t>
  </si>
  <si>
    <t>Total Utilities</t>
  </si>
  <si>
    <t>Capital</t>
  </si>
  <si>
    <t>Payroll</t>
  </si>
  <si>
    <t>Total Payroll</t>
  </si>
  <si>
    <t>Debt</t>
  </si>
  <si>
    <t>Bad Debt Expense</t>
  </si>
  <si>
    <t>Transfer to Debt Service Fund</t>
  </si>
  <si>
    <t>Revenue</t>
  </si>
  <si>
    <t>Expenditures</t>
  </si>
  <si>
    <t>Beg. Fund Balance</t>
  </si>
  <si>
    <t>Operating Expenditures</t>
  </si>
  <si>
    <t>End. Fund Balance</t>
  </si>
  <si>
    <t>SO Tax, Interest and Other Inc.</t>
  </si>
  <si>
    <t>Water and Sewer Usage</t>
  </si>
  <si>
    <t>PILT</t>
  </si>
  <si>
    <t>Tap Fees</t>
  </si>
  <si>
    <t>Change in Fund Balance</t>
  </si>
  <si>
    <t>Other Revenue</t>
  </si>
  <si>
    <t>Lease Proceeds</t>
  </si>
  <si>
    <t>System Improvement</t>
  </si>
  <si>
    <t>Energy/Mineral Impact Grant</t>
  </si>
  <si>
    <t>Transfer from Capital Projects</t>
  </si>
  <si>
    <t>General Fund - Summary</t>
  </si>
  <si>
    <t>Enterprise Fund - Summary</t>
  </si>
  <si>
    <t>Debt Service Fund - Summary</t>
  </si>
  <si>
    <t>Capital Projects Fund - Summary</t>
  </si>
  <si>
    <t xml:space="preserve">Transfer from Capital Projects </t>
  </si>
  <si>
    <t>Property Taxes - DS</t>
  </si>
  <si>
    <t>GF</t>
  </si>
  <si>
    <t>EF</t>
  </si>
  <si>
    <t>DS</t>
  </si>
  <si>
    <t>CIP</t>
  </si>
  <si>
    <t>DA Davidson</t>
  </si>
  <si>
    <t>2008 Budget</t>
  </si>
  <si>
    <t>Variance</t>
  </si>
  <si>
    <t>SO Taxes, et al - GF</t>
  </si>
  <si>
    <t>SO Taxes, et al - DS</t>
  </si>
  <si>
    <t>Debt Service</t>
  </si>
  <si>
    <t>2002 Rev Bond</t>
  </si>
  <si>
    <t>2008 6%</t>
  </si>
  <si>
    <t>2008 8%</t>
  </si>
  <si>
    <t>4-503028</t>
  </si>
  <si>
    <t>4-503029</t>
  </si>
  <si>
    <t>4-503299</t>
  </si>
  <si>
    <t>4-505001</t>
  </si>
  <si>
    <t>South Crestone Filter Plant</t>
  </si>
  <si>
    <t>4-505002</t>
  </si>
  <si>
    <t>4-505005</t>
  </si>
  <si>
    <t>4-505008</t>
  </si>
  <si>
    <t>Well No. 18</t>
  </si>
  <si>
    <t>4-505010</t>
  </si>
  <si>
    <t>4-505011</t>
  </si>
  <si>
    <t>Moonlight Pumphouse</t>
  </si>
  <si>
    <t>4-505012</t>
  </si>
  <si>
    <t>Ridgeview Pumphouse</t>
  </si>
  <si>
    <t>4-505013</t>
  </si>
  <si>
    <t>Fallen Tree PH</t>
  </si>
  <si>
    <t>4-505015</t>
  </si>
  <si>
    <t>Pine Cone Pumphouse</t>
  </si>
  <si>
    <t>4-505019</t>
  </si>
  <si>
    <t>Aspen TP</t>
  </si>
  <si>
    <t>4-505020</t>
  </si>
  <si>
    <t>Aspen TP-Propane</t>
  </si>
  <si>
    <t>4-505022</t>
  </si>
  <si>
    <t>Wagon Wheel LS</t>
  </si>
  <si>
    <t>4-505023</t>
  </si>
  <si>
    <t>4-505024</t>
  </si>
  <si>
    <t>Stables LS</t>
  </si>
  <si>
    <t>4-505025</t>
  </si>
  <si>
    <t>Shop, Office, Yard</t>
  </si>
  <si>
    <t>4-505026</t>
  </si>
  <si>
    <t>Shop, Yard, Office-Propane</t>
  </si>
  <si>
    <t>4-505027</t>
  </si>
  <si>
    <t>4-505029</t>
  </si>
  <si>
    <t>Trash and Recycling Services</t>
  </si>
  <si>
    <t>Dharma Ocean Sewer Line</t>
  </si>
  <si>
    <t>4-530000</t>
  </si>
  <si>
    <t>Payroll Expense</t>
  </si>
  <si>
    <t>4-530200</t>
  </si>
  <si>
    <t>Payroll-Gross</t>
  </si>
  <si>
    <t>4-530300</t>
  </si>
  <si>
    <t>Payroll Taxes</t>
  </si>
  <si>
    <t>4-530400</t>
  </si>
  <si>
    <t>PERA</t>
  </si>
  <si>
    <t>4-530500</t>
  </si>
  <si>
    <t>Health Insurance</t>
  </si>
  <si>
    <t>4-530600</t>
  </si>
  <si>
    <t>2001 CWPA-Rev Bond Principal</t>
  </si>
  <si>
    <t>2001 CWPA Rev Bond-Interest</t>
  </si>
  <si>
    <t>4-420240</t>
  </si>
  <si>
    <t>Rent</t>
  </si>
  <si>
    <t>4-481000</t>
  </si>
  <si>
    <t>4-500100</t>
  </si>
  <si>
    <t>Raw Water USFSWS</t>
  </si>
  <si>
    <t>4-500250</t>
  </si>
  <si>
    <t>Testing/NPDES Permit Fees</t>
  </si>
  <si>
    <t>4-500300</t>
  </si>
  <si>
    <t>4-500350</t>
  </si>
  <si>
    <t>4-500403</t>
  </si>
  <si>
    <t>Office Supplies</t>
  </si>
  <si>
    <t>4-500407</t>
  </si>
  <si>
    <t>Computers and Media</t>
  </si>
  <si>
    <t>4-500408</t>
  </si>
  <si>
    <t>Computer Support</t>
  </si>
  <si>
    <t>4-500460</t>
  </si>
  <si>
    <t>Utility Billing</t>
  </si>
  <si>
    <t>4-500500</t>
  </si>
  <si>
    <t>4-500510</t>
  </si>
  <si>
    <t>4-500530</t>
  </si>
  <si>
    <t>Locates</t>
  </si>
  <si>
    <t>4-500550</t>
  </si>
  <si>
    <t>4-500661</t>
  </si>
  <si>
    <t>Gas and Oil</t>
  </si>
  <si>
    <t>4-503000</t>
  </si>
  <si>
    <t>4-503001</t>
  </si>
  <si>
    <t>Repairs &amp; Maint-Water Mains</t>
  </si>
  <si>
    <t>4-503002</t>
  </si>
  <si>
    <t>4-503008</t>
  </si>
  <si>
    <t>DS Mill Levy</t>
  </si>
  <si>
    <t>SO Taxes</t>
  </si>
  <si>
    <t>Total Collections</t>
  </si>
  <si>
    <t>Surplus/(Deficit)</t>
  </si>
  <si>
    <t>GF Mill Levy</t>
  </si>
  <si>
    <t>8% Issue</t>
  </si>
  <si>
    <t>6% Issue</t>
  </si>
  <si>
    <t>2002 Series</t>
  </si>
  <si>
    <t>Directors' Fees</t>
  </si>
  <si>
    <t>$21,600, + $10,000/month Brown &amp; Caldwell</t>
  </si>
  <si>
    <t>Estimate</t>
  </si>
  <si>
    <t>3% of Estimate</t>
  </si>
  <si>
    <t>Baca Grande Water and Sanitation District</t>
  </si>
  <si>
    <t>Projection of 2008 Revenues, Expenses and Change in Net Assets</t>
  </si>
  <si>
    <t>Based on August 2008 Year to Date Amounts</t>
  </si>
  <si>
    <t>1-423000</t>
  </si>
  <si>
    <t>1-423200</t>
  </si>
  <si>
    <t>Interest on Property Taxes</t>
  </si>
  <si>
    <t>1-432000</t>
  </si>
  <si>
    <t>1-446000</t>
  </si>
  <si>
    <t>Interest</t>
  </si>
  <si>
    <t>Bank Charges</t>
  </si>
  <si>
    <t>1-500400</t>
  </si>
  <si>
    <t>County Treasurer's Fee</t>
  </si>
  <si>
    <t>Postage</t>
  </si>
  <si>
    <t>Training and Education</t>
  </si>
  <si>
    <t>Advertising</t>
  </si>
  <si>
    <t>Memberships</t>
  </si>
  <si>
    <t>Meals and Lodging</t>
  </si>
  <si>
    <t>Diesel Fuel</t>
  </si>
  <si>
    <t>1-506010</t>
  </si>
  <si>
    <t>Audit</t>
  </si>
  <si>
    <t>1-506030</t>
  </si>
  <si>
    <t>1-506040</t>
  </si>
  <si>
    <t>1-506050</t>
  </si>
  <si>
    <t>Elections</t>
  </si>
  <si>
    <t>1-530100</t>
  </si>
  <si>
    <t>1-581000</t>
  </si>
  <si>
    <t>Transfer to Enterprise Fund</t>
  </si>
  <si>
    <t>4-420000</t>
  </si>
  <si>
    <t>Water Usage Fees</t>
  </si>
  <si>
    <t>4-420010</t>
  </si>
  <si>
    <t>Sewer Usage Fees</t>
  </si>
  <si>
    <t>4-420030</t>
  </si>
  <si>
    <t>Usage Fees Penalties</t>
  </si>
  <si>
    <t>Fire Hydrant Fees</t>
  </si>
  <si>
    <t>4-420102</t>
  </si>
  <si>
    <t>Pmts in Lieu of Taxes</t>
  </si>
  <si>
    <t>Tap Fee Installments</t>
  </si>
  <si>
    <t>4-420210</t>
  </si>
  <si>
    <t>Actual</t>
  </si>
  <si>
    <t>Total Expenditures</t>
  </si>
  <si>
    <t>REVENUE</t>
  </si>
  <si>
    <t>EXPENDITURES</t>
  </si>
  <si>
    <t>GENERAL FUND</t>
  </si>
  <si>
    <t>CAPITAL PROJECTS FUND</t>
  </si>
  <si>
    <t>Property Taxes</t>
  </si>
  <si>
    <t>4-503018</t>
  </si>
  <si>
    <t>Repair &amp; Maint-Fire Hydrants</t>
  </si>
  <si>
    <t>4-503019</t>
  </si>
  <si>
    <t>Repair &amp; Maint-Aspen TP</t>
  </si>
  <si>
    <t>4-503022</t>
  </si>
  <si>
    <t>4-503025</t>
  </si>
  <si>
    <t>2008 Debt Service</t>
  </si>
  <si>
    <t>Retirement Capital Leases</t>
  </si>
  <si>
    <t>General Fund</t>
  </si>
  <si>
    <t>Enterprise Fund</t>
  </si>
  <si>
    <t>Debt Service Fund</t>
  </si>
  <si>
    <t>Capital Projects</t>
  </si>
  <si>
    <t>Ending Fund Balance</t>
  </si>
  <si>
    <t>Repairs &amp; Maintenance-Water Tanks</t>
    <phoneticPr fontId="23" type="noConversion"/>
  </si>
  <si>
    <t>Total Revenue</t>
  </si>
  <si>
    <t>Property Tax Revenue</t>
  </si>
  <si>
    <t>Specific Ownership Tax</t>
  </si>
  <si>
    <t>Interest Income</t>
  </si>
  <si>
    <t>Legal</t>
  </si>
  <si>
    <t>Utilities</t>
  </si>
  <si>
    <t>Treasurer's Fees</t>
  </si>
  <si>
    <t>Paying Agent Fees</t>
  </si>
  <si>
    <t>Remarketing Fees</t>
  </si>
  <si>
    <t>Transfer from General Fund</t>
  </si>
  <si>
    <t>Adopted Budget</t>
  </si>
  <si>
    <t>YTD Actual</t>
  </si>
  <si>
    <t>Water &amp; Sewer Fees</t>
  </si>
  <si>
    <t>Availability of Service</t>
  </si>
  <si>
    <t>Fire Hydrant Revenue</t>
  </si>
  <si>
    <t>System Improvements Fees</t>
  </si>
  <si>
    <t>Hook Up Fees</t>
  </si>
  <si>
    <t>Salaries &amp; Benefits</t>
  </si>
  <si>
    <t>Legal &amp; Accounting</t>
  </si>
  <si>
    <t>Repairs &amp; Maintenance</t>
  </si>
  <si>
    <t>Operating Expenses</t>
  </si>
  <si>
    <t>Insurance and Bonds</t>
  </si>
  <si>
    <t>Office Expenses</t>
  </si>
  <si>
    <t>Supplies</t>
  </si>
  <si>
    <t>Vehicles Operations</t>
  </si>
  <si>
    <t>Water Costs</t>
  </si>
  <si>
    <t>Testing</t>
  </si>
  <si>
    <t>Depreciation</t>
  </si>
  <si>
    <t>Specific Ownership Taxes</t>
  </si>
  <si>
    <t>Interest Expense</t>
  </si>
  <si>
    <t>Rents</t>
  </si>
  <si>
    <t>Payment In-Lieu of Taxes</t>
  </si>
  <si>
    <t>Enterprise</t>
  </si>
  <si>
    <t>Transfer to DS</t>
  </si>
  <si>
    <t>Transfer to CP</t>
  </si>
  <si>
    <t>2002 Debt Service</t>
  </si>
  <si>
    <t>2006 Debt Service</t>
  </si>
  <si>
    <t>Infrastructure Outlay</t>
  </si>
  <si>
    <t>Adjustments</t>
  </si>
  <si>
    <t>Total</t>
  </si>
  <si>
    <t>General</t>
  </si>
  <si>
    <t>Director Fees</t>
  </si>
  <si>
    <t>Professional Fees</t>
  </si>
  <si>
    <t>Management Fees</t>
  </si>
  <si>
    <t>Other</t>
  </si>
  <si>
    <t>Bad Debt &amp; Misc</t>
  </si>
  <si>
    <t>Total Expenses</t>
  </si>
  <si>
    <t>Change in Net Assets</t>
  </si>
  <si>
    <t>Beginning Net Assets</t>
  </si>
  <si>
    <t>Ending Net Assets</t>
  </si>
  <si>
    <t>Cert to Treasurer</t>
  </si>
  <si>
    <t>Actual + 20%</t>
  </si>
  <si>
    <t>Tax Sch</t>
  </si>
  <si>
    <t>PY Audit</t>
  </si>
  <si>
    <t>Annualized</t>
  </si>
  <si>
    <t>Cash flow projection</t>
  </si>
  <si>
    <t>Cash flow projection, inlcudes directors</t>
  </si>
  <si>
    <t>$5,500 x 5 months</t>
  </si>
  <si>
    <t>$17,000 2007 audit, $6,000/month legal x 5 months</t>
  </si>
  <si>
    <t>BACA GRANDE WATER AND SANITATION DISTRICT</t>
  </si>
  <si>
    <t xml:space="preserve"> </t>
  </si>
  <si>
    <t>Transfer to Capital Projects</t>
  </si>
  <si>
    <t>Repair-Master Meters</t>
  </si>
  <si>
    <t>Capital - Admin Remodel/Replacement</t>
  </si>
  <si>
    <t>BACA GRANDE WATER &amp; SANITATION DISTRICT</t>
  </si>
  <si>
    <t>Required Emergency Reserve-TABOR</t>
  </si>
  <si>
    <t>Total Operating Expenses</t>
  </si>
  <si>
    <t>Casita Park Pumphouse-MHE Booster Station</t>
  </si>
  <si>
    <t>Insurance- Property CSDLP</t>
  </si>
  <si>
    <t>GO Bond Principal</t>
  </si>
  <si>
    <t>CWRPDA Principal</t>
  </si>
  <si>
    <t>CWRPDA Interest</t>
  </si>
  <si>
    <t>Excess Revenue Over (Under) Expenses</t>
  </si>
  <si>
    <t>Management/Administrative Payroll/Benefits</t>
  </si>
  <si>
    <t>Adopted</t>
  </si>
  <si>
    <t>FUND BALANCE - Ending</t>
  </si>
  <si>
    <t xml:space="preserve">Golf Course </t>
  </si>
  <si>
    <t>Repair &amp; Maintainence-SCADA</t>
  </si>
  <si>
    <t>Net Change in Fund Balance</t>
  </si>
  <si>
    <t>Excess Revenue Over (Under) Expenditures</t>
  </si>
  <si>
    <t>Interest/Miscellaneous Income</t>
  </si>
  <si>
    <t>4-505006</t>
  </si>
  <si>
    <t>Dharma Ocean Liftstation/Shop Pumphouse</t>
  </si>
  <si>
    <t>GO Bond Interest</t>
  </si>
  <si>
    <t xml:space="preserve">       Total Other Financing Sources (Uses)</t>
  </si>
  <si>
    <t>September</t>
  </si>
  <si>
    <t>October</t>
  </si>
  <si>
    <t>November</t>
  </si>
  <si>
    <t>December</t>
  </si>
  <si>
    <t>Worker's Compensation Insurance-Pinnacol</t>
  </si>
  <si>
    <t>342 from Feb - not 2021 Ap</t>
  </si>
  <si>
    <t>50% CEBT to General Fund</t>
  </si>
  <si>
    <t xml:space="preserve">                     Total Other Financing Sources</t>
  </si>
  <si>
    <t>OTHER FINANCING SOURCES</t>
  </si>
  <si>
    <t>2023       Budget</t>
  </si>
  <si>
    <t>2023         Budget</t>
  </si>
  <si>
    <t>Transfer to Capital Projects Fund</t>
  </si>
  <si>
    <t>Transfer from Other Funds</t>
  </si>
  <si>
    <t>Master Plan</t>
  </si>
  <si>
    <r>
      <t xml:space="preserve">Grant proceeds </t>
    </r>
    <r>
      <rPr>
        <sz val="8"/>
        <rFont val="Arial"/>
        <family val="2"/>
      </rPr>
      <t>(Safety and County)</t>
    </r>
  </si>
  <si>
    <t>Projects and Equipment</t>
  </si>
  <si>
    <t>Water Loss Prevention Project</t>
  </si>
  <si>
    <t>FUND BALANCE - Beginning</t>
  </si>
  <si>
    <t xml:space="preserve">FUND BALANCE - Beginning </t>
  </si>
  <si>
    <t>2024      Budget</t>
  </si>
  <si>
    <t>Availability of Service Fees/Late Fees</t>
  </si>
  <si>
    <t>2024   Budget</t>
  </si>
  <si>
    <t>Assessed Value, Property Tax and Mill Levy Information</t>
  </si>
  <si>
    <t>Final             AV</t>
  </si>
  <si>
    <t>Final                        AV</t>
  </si>
  <si>
    <t>Assessed Valuation</t>
  </si>
  <si>
    <t>Mill Levy</t>
  </si>
  <si>
    <t xml:space="preserve">  General Fund</t>
  </si>
  <si>
    <t xml:space="preserve">  Debt Service Fund</t>
  </si>
  <si>
    <t xml:space="preserve">  Temporary Mill Levy Reduction</t>
  </si>
  <si>
    <t xml:space="preserve">  Refunds and Abatements</t>
  </si>
  <si>
    <t>Total Mill Levy</t>
  </si>
  <si>
    <t>Final                    AV</t>
  </si>
  <si>
    <t>Consolidation Fee</t>
  </si>
  <si>
    <t>Hook Up/Inspection Fees</t>
  </si>
  <si>
    <t>Actual               YTD/9.31.23</t>
  </si>
  <si>
    <t>Line Extension Fees</t>
  </si>
  <si>
    <t>Line Extension Expense</t>
  </si>
  <si>
    <t>Grant-ARPA/County</t>
  </si>
  <si>
    <t>Preliminary           AV</t>
  </si>
  <si>
    <t>Final AV</t>
  </si>
  <si>
    <t>Final                AV</t>
  </si>
  <si>
    <t>Amended</t>
  </si>
  <si>
    <t>Actual YTD</t>
  </si>
  <si>
    <t xml:space="preserve">Actual YTD </t>
  </si>
  <si>
    <t>Repair &amp; Maintenance- Equipment</t>
  </si>
  <si>
    <t>Proposed</t>
  </si>
  <si>
    <t xml:space="preserve">Proposed </t>
  </si>
  <si>
    <t>Concrete Water Main Replacement</t>
  </si>
  <si>
    <t>Aspen WWTF</t>
  </si>
  <si>
    <t xml:space="preserve">               ARPA Grant proceeds revenue will be recognized when utilized.</t>
  </si>
  <si>
    <t>CAF:  2024 Beginning Balance changed due to deferral of unused ARPA proceeds in 2023.</t>
  </si>
  <si>
    <t xml:space="preserve">         Not sure where YTD 2024 amount is coming from.</t>
  </si>
  <si>
    <t>Estimated</t>
  </si>
  <si>
    <t>2025</t>
  </si>
  <si>
    <t>2026         Budget</t>
  </si>
  <si>
    <t>PROPOSED 2026 BUDGET</t>
  </si>
  <si>
    <t>2026           Budget</t>
  </si>
  <si>
    <t>2026        Budget</t>
  </si>
  <si>
    <t>2026 Proposed</t>
  </si>
  <si>
    <t xml:space="preserve">Repair &amp; Main- Street </t>
  </si>
  <si>
    <t>Interest/Misc Income</t>
  </si>
  <si>
    <t>Grant/Loan-CWR&amp;PDA/DWRF</t>
  </si>
  <si>
    <t>Water System Improvements Design</t>
  </si>
  <si>
    <t xml:space="preserve"> Actual</t>
  </si>
  <si>
    <t xml:space="preserve">Actual </t>
  </si>
  <si>
    <t>PROPOSED 2026 Budget</t>
  </si>
  <si>
    <t>DOLA</t>
  </si>
  <si>
    <t>CRWPDA Grant/Loan</t>
  </si>
  <si>
    <t>Collection System</t>
  </si>
  <si>
    <t>Master Plan/Reserve Study</t>
  </si>
  <si>
    <t xml:space="preserve">  Backfill Taxes</t>
  </si>
  <si>
    <t>Vehicles and Equipment</t>
  </si>
  <si>
    <t>Spanish Creek Manhole Project</t>
  </si>
  <si>
    <t>South Crestone Tank</t>
  </si>
  <si>
    <r>
      <t>Miscellaneous Revenue (</t>
    </r>
    <r>
      <rPr>
        <sz val="8"/>
        <rFont val="Arial"/>
        <family val="2"/>
      </rPr>
      <t>inc. Ins Reimb/Sale of Asset)</t>
    </r>
  </si>
  <si>
    <t>Repair &amp; Maint-Office/Misc</t>
  </si>
  <si>
    <t xml:space="preserve">PROPOSED 2026 BUDGET </t>
  </si>
  <si>
    <t>USDA Grant/Loan Proceeds</t>
  </si>
  <si>
    <t>Treatment System</t>
  </si>
  <si>
    <t>Water Distrubution System</t>
  </si>
  <si>
    <t>Water Production System</t>
  </si>
  <si>
    <t>DEBT SERVICE FUND - Governmental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</si>
</sst>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_);_(* \(#,##0.000\);_(* &quot;-&quot;??_);_(@_)"/>
    <numFmt numFmtId="167" formatCode="_(* #,##0.000_);_(* \(#,##0.000\);_(* &quot;-&quot;???_);_(@_)"/>
    <numFmt numFmtId="168" formatCode="&quot;$&quot;#,##0"/>
    <numFmt numFmtId="169" formatCode="0.0%"/>
  </numFmts>
  <fonts count="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0"/>
      <name val="Arial MT"/>
    </font>
    <font>
      <sz val="12"/>
      <name val="Arial MT"/>
    </font>
    <font>
      <sz val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i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82">
    <xf numFmtId="0" fontId="0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15" applyNumberFormat="0" applyAlignment="0" applyProtection="0"/>
    <xf numFmtId="0" fontId="40" fillId="6" borderId="16" applyNumberFormat="0" applyAlignment="0" applyProtection="0"/>
    <xf numFmtId="0" fontId="41" fillId="6" borderId="15" applyNumberFormat="0" applyAlignment="0" applyProtection="0"/>
    <xf numFmtId="0" fontId="42" fillId="0" borderId="17" applyNumberFormat="0" applyFill="0" applyAlignment="0" applyProtection="0"/>
    <xf numFmtId="0" fontId="43" fillId="7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0" applyNumberFormat="0" applyFill="0" applyAlignment="0" applyProtection="0"/>
    <xf numFmtId="0" fontId="47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7" fillId="32" borderId="0" applyNumberFormat="0" applyBorder="0" applyAlignment="0" applyProtection="0"/>
    <xf numFmtId="0" fontId="20" fillId="0" borderId="0"/>
    <xf numFmtId="0" fontId="48" fillId="0" borderId="0" applyNumberFormat="0" applyFill="0" applyBorder="0" applyAlignment="0" applyProtection="0"/>
    <xf numFmtId="0" fontId="20" fillId="8" borderId="19" applyNumberFormat="0" applyFont="0" applyAlignment="0" applyProtection="0"/>
    <xf numFmtId="0" fontId="19" fillId="0" borderId="0"/>
    <xf numFmtId="0" fontId="19" fillId="8" borderId="19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8" fillId="0" borderId="0"/>
    <xf numFmtId="0" fontId="18" fillId="8" borderId="19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0" borderId="0"/>
    <xf numFmtId="0" fontId="17" fillId="8" borderId="19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0" borderId="0"/>
    <xf numFmtId="0" fontId="16" fillId="8" borderId="19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1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8" borderId="19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0" borderId="0"/>
    <xf numFmtId="0" fontId="13" fillId="8" borderId="19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0" borderId="0"/>
    <xf numFmtId="0" fontId="12" fillId="8" borderId="1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0" borderId="0"/>
    <xf numFmtId="0" fontId="11" fillId="8" borderId="19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0" borderId="0"/>
    <xf numFmtId="0" fontId="10" fillId="8" borderId="1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8" borderId="1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1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1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1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9" fillId="0" borderId="0" applyNumberFormat="0" applyFill="0" applyBorder="0" applyAlignment="0" applyProtection="0"/>
    <xf numFmtId="0" fontId="21" fillId="0" borderId="0"/>
    <xf numFmtId="0" fontId="50" fillId="0" borderId="0"/>
    <xf numFmtId="0" fontId="51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9" applyNumberFormat="0" applyFont="0" applyAlignment="0" applyProtection="0"/>
    <xf numFmtId="0" fontId="5" fillId="0" borderId="0"/>
    <xf numFmtId="0" fontId="5" fillId="8" borderId="1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1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1" fillId="0" borderId="0"/>
    <xf numFmtId="0" fontId="4" fillId="8" borderId="19" applyNumberFormat="0" applyFont="0" applyAlignment="0" applyProtection="0"/>
    <xf numFmtId="0" fontId="3" fillId="0" borderId="0"/>
    <xf numFmtId="0" fontId="3" fillId="8" borderId="1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9" fontId="69" fillId="0" borderId="0" applyFont="0" applyFill="0" applyBorder="0" applyAlignment="0" applyProtection="0"/>
  </cellStyleXfs>
  <cellXfs count="299"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/>
    <xf numFmtId="41" fontId="25" fillId="0" borderId="0" xfId="0" applyNumberFormat="1" applyFont="1"/>
    <xf numFmtId="0" fontId="24" fillId="0" borderId="0" xfId="0" applyFont="1"/>
    <xf numFmtId="42" fontId="25" fillId="0" borderId="0" xfId="0" applyNumberFormat="1" applyFont="1"/>
    <xf numFmtId="0" fontId="25" fillId="0" borderId="0" xfId="0" applyFont="1" applyAlignment="1">
      <alignment horizontal="left"/>
    </xf>
    <xf numFmtId="43" fontId="0" fillId="0" borderId="0" xfId="1" applyFont="1"/>
    <xf numFmtId="165" fontId="0" fillId="0" borderId="0" xfId="1" applyNumberFormat="1" applyFont="1"/>
    <xf numFmtId="165" fontId="0" fillId="0" borderId="0" xfId="0" applyNumberFormat="1"/>
    <xf numFmtId="165" fontId="0" fillId="0" borderId="7" xfId="0" applyNumberFormat="1" applyBorder="1"/>
    <xf numFmtId="165" fontId="0" fillId="0" borderId="2" xfId="1" applyNumberFormat="1" applyFont="1" applyBorder="1"/>
    <xf numFmtId="165" fontId="0" fillId="0" borderId="7" xfId="1" applyNumberFormat="1" applyFont="1" applyBorder="1"/>
    <xf numFmtId="0" fontId="24" fillId="0" borderId="4" xfId="0" applyFont="1" applyBorder="1" applyAlignment="1">
      <alignment horizontal="center"/>
    </xf>
    <xf numFmtId="41" fontId="21" fillId="0" borderId="0" xfId="1" applyNumberFormat="1" applyFont="1" applyFill="1" applyBorder="1"/>
    <xf numFmtId="43" fontId="25" fillId="0" borderId="0" xfId="0" applyNumberFormat="1" applyFont="1"/>
    <xf numFmtId="165" fontId="25" fillId="0" borderId="0" xfId="1" applyNumberFormat="1" applyFont="1" applyFill="1"/>
    <xf numFmtId="165" fontId="25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1" fillId="0" borderId="0" xfId="0" applyFont="1"/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30" fillId="0" borderId="0" xfId="0" applyFont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0" xfId="0" applyFont="1"/>
    <xf numFmtId="0" fontId="30" fillId="0" borderId="0" xfId="0" applyFont="1" applyAlignment="1">
      <alignment horizontal="left" indent="1"/>
    </xf>
    <xf numFmtId="0" fontId="30" fillId="0" borderId="0" xfId="0" applyFont="1" applyAlignment="1">
      <alignment horizontal="left"/>
    </xf>
    <xf numFmtId="0" fontId="0" fillId="0" borderId="0" xfId="0" applyAlignment="1">
      <alignment horizontal="left" indent="1"/>
    </xf>
    <xf numFmtId="41" fontId="30" fillId="0" borderId="0" xfId="0" applyNumberFormat="1" applyFont="1"/>
    <xf numFmtId="41" fontId="30" fillId="0" borderId="1" xfId="0" applyNumberFormat="1" applyFont="1" applyBorder="1"/>
    <xf numFmtId="164" fontId="24" fillId="0" borderId="0" xfId="2" applyNumberFormat="1" applyFont="1"/>
    <xf numFmtId="41" fontId="24" fillId="0" borderId="0" xfId="0" applyNumberFormat="1" applyFont="1"/>
    <xf numFmtId="43" fontId="30" fillId="0" borderId="0" xfId="1" applyFont="1"/>
    <xf numFmtId="165" fontId="30" fillId="0" borderId="0" xfId="1" applyNumberFormat="1" applyFont="1"/>
    <xf numFmtId="0" fontId="30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165" fontId="30" fillId="0" borderId="0" xfId="1" applyNumberFormat="1" applyFont="1" applyBorder="1"/>
    <xf numFmtId="165" fontId="30" fillId="0" borderId="1" xfId="1" applyNumberFormat="1" applyFont="1" applyBorder="1"/>
    <xf numFmtId="164" fontId="24" fillId="0" borderId="7" xfId="2" applyNumberFormat="1" applyFont="1" applyBorder="1"/>
    <xf numFmtId="0" fontId="31" fillId="0" borderId="0" xfId="0" applyFont="1"/>
    <xf numFmtId="41" fontId="25" fillId="0" borderId="1" xfId="0" applyNumberFormat="1" applyFont="1" applyBorder="1"/>
    <xf numFmtId="43" fontId="30" fillId="0" borderId="0" xfId="1" applyFont="1" applyBorder="1"/>
    <xf numFmtId="0" fontId="0" fillId="0" borderId="0" xfId="0" applyAlignment="1">
      <alignment horizontal="left"/>
    </xf>
    <xf numFmtId="164" fontId="30" fillId="0" borderId="0" xfId="0" applyNumberFormat="1" applyFont="1"/>
    <xf numFmtId="0" fontId="32" fillId="0" borderId="0" xfId="0" applyFont="1" applyAlignment="1">
      <alignment horizontal="center"/>
    </xf>
    <xf numFmtId="164" fontId="30" fillId="0" borderId="7" xfId="0" applyNumberFormat="1" applyFont="1" applyBorder="1"/>
    <xf numFmtId="164" fontId="0" fillId="0" borderId="0" xfId="0" applyNumberFormat="1"/>
    <xf numFmtId="41" fontId="0" fillId="0" borderId="0" xfId="0" applyNumberFormat="1"/>
    <xf numFmtId="0" fontId="32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42" fontId="30" fillId="0" borderId="0" xfId="0" applyNumberFormat="1" applyFont="1"/>
    <xf numFmtId="165" fontId="21" fillId="0" borderId="0" xfId="1" applyNumberFormat="1" applyFont="1"/>
    <xf numFmtId="166" fontId="21" fillId="0" borderId="0" xfId="1" applyNumberFormat="1" applyFont="1"/>
    <xf numFmtId="0" fontId="29" fillId="0" borderId="3" xfId="0" applyFont="1" applyBorder="1" applyAlignment="1">
      <alignment horizontal="center" wrapText="1"/>
    </xf>
    <xf numFmtId="0" fontId="29" fillId="0" borderId="11" xfId="0" applyFont="1" applyBorder="1" applyAlignment="1">
      <alignment horizontal="center"/>
    </xf>
    <xf numFmtId="0" fontId="25" fillId="0" borderId="0" xfId="0" applyFont="1" applyAlignment="1">
      <alignment horizontal="left" indent="1"/>
    </xf>
    <xf numFmtId="0" fontId="24" fillId="0" borderId="10" xfId="0" applyFont="1" applyBorder="1" applyAlignment="1">
      <alignment horizontal="center" wrapText="1"/>
    </xf>
    <xf numFmtId="0" fontId="22" fillId="0" borderId="0" xfId="0" applyFont="1"/>
    <xf numFmtId="165" fontId="25" fillId="0" borderId="0" xfId="1" applyNumberFormat="1" applyFont="1" applyBorder="1"/>
    <xf numFmtId="0" fontId="21" fillId="0" borderId="0" xfId="0" applyFont="1" applyAlignment="1">
      <alignment horizontal="left"/>
    </xf>
    <xf numFmtId="40" fontId="25" fillId="0" borderId="0" xfId="0" applyNumberFormat="1" applyFont="1"/>
    <xf numFmtId="0" fontId="52" fillId="0" borderId="0" xfId="379"/>
    <xf numFmtId="0" fontId="24" fillId="0" borderId="0" xfId="379" applyFont="1" applyAlignment="1">
      <alignment horizontal="center"/>
    </xf>
    <xf numFmtId="0" fontId="24" fillId="0" borderId="0" xfId="379" applyFont="1"/>
    <xf numFmtId="41" fontId="52" fillId="0" borderId="0" xfId="379" applyNumberFormat="1"/>
    <xf numFmtId="42" fontId="52" fillId="0" borderId="0" xfId="379" applyNumberFormat="1"/>
    <xf numFmtId="0" fontId="24" fillId="0" borderId="0" xfId="379" applyFont="1" applyAlignment="1">
      <alignment horizontal="left"/>
    </xf>
    <xf numFmtId="0" fontId="28" fillId="0" borderId="0" xfId="379" applyFont="1" applyAlignment="1">
      <alignment horizontal="right"/>
    </xf>
    <xf numFmtId="165" fontId="52" fillId="0" borderId="0" xfId="380" applyNumberFormat="1" applyFont="1" applyBorder="1"/>
    <xf numFmtId="165" fontId="52" fillId="0" borderId="0" xfId="379" applyNumberFormat="1"/>
    <xf numFmtId="0" fontId="0" fillId="0" borderId="0" xfId="379" applyFont="1"/>
    <xf numFmtId="0" fontId="53" fillId="0" borderId="0" xfId="0" applyFont="1" applyAlignment="1">
      <alignment horizontal="left"/>
    </xf>
    <xf numFmtId="41" fontId="54" fillId="0" borderId="0" xfId="0" applyNumberFormat="1" applyFont="1"/>
    <xf numFmtId="0" fontId="55" fillId="0" borderId="0" xfId="0" applyFont="1"/>
    <xf numFmtId="42" fontId="24" fillId="0" borderId="0" xfId="0" applyNumberFormat="1" applyFont="1"/>
    <xf numFmtId="42" fontId="24" fillId="0" borderId="0" xfId="379" applyNumberFormat="1" applyFont="1"/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 wrapText="1"/>
    </xf>
    <xf numFmtId="42" fontId="0" fillId="0" borderId="0" xfId="0" applyNumberFormat="1"/>
    <xf numFmtId="42" fontId="25" fillId="0" borderId="0" xfId="1" applyNumberFormat="1" applyFont="1" applyFill="1"/>
    <xf numFmtId="42" fontId="25" fillId="0" borderId="2" xfId="0" applyNumberFormat="1" applyFont="1" applyBorder="1"/>
    <xf numFmtId="42" fontId="21" fillId="0" borderId="21" xfId="1" applyNumberFormat="1" applyFont="1" applyFill="1" applyBorder="1"/>
    <xf numFmtId="42" fontId="21" fillId="0" borderId="0" xfId="1" applyNumberFormat="1" applyFont="1" applyFill="1" applyBorder="1"/>
    <xf numFmtId="42" fontId="21" fillId="0" borderId="2" xfId="1" applyNumberFormat="1" applyFont="1" applyFill="1" applyBorder="1"/>
    <xf numFmtId="42" fontId="0" fillId="0" borderId="21" xfId="0" applyNumberFormat="1" applyBorder="1"/>
    <xf numFmtId="0" fontId="25" fillId="33" borderId="0" xfId="0" applyFont="1" applyFill="1"/>
    <xf numFmtId="0" fontId="24" fillId="33" borderId="0" xfId="0" applyFont="1" applyFill="1" applyAlignment="1">
      <alignment horizontal="center"/>
    </xf>
    <xf numFmtId="42" fontId="52" fillId="0" borderId="2" xfId="379" applyNumberFormat="1" applyBorder="1"/>
    <xf numFmtId="42" fontId="52" fillId="0" borderId="2" xfId="380" applyNumberFormat="1" applyFont="1" applyFill="1" applyBorder="1"/>
    <xf numFmtId="0" fontId="52" fillId="0" borderId="0" xfId="0" applyFont="1"/>
    <xf numFmtId="0" fontId="23" fillId="0" borderId="0" xfId="0" applyFont="1"/>
    <xf numFmtId="41" fontId="0" fillId="0" borderId="2" xfId="0" applyNumberFormat="1" applyBorder="1"/>
    <xf numFmtId="42" fontId="0" fillId="0" borderId="2" xfId="0" applyNumberFormat="1" applyBorder="1"/>
    <xf numFmtId="41" fontId="25" fillId="0" borderId="0" xfId="1" applyNumberFormat="1" applyFont="1" applyFill="1"/>
    <xf numFmtId="42" fontId="21" fillId="0" borderId="0" xfId="1" applyNumberFormat="1" applyFont="1" applyFill="1"/>
    <xf numFmtId="41" fontId="21" fillId="0" borderId="0" xfId="1" applyNumberFormat="1" applyFont="1" applyFill="1"/>
    <xf numFmtId="42" fontId="21" fillId="0" borderId="0" xfId="379" applyNumberFormat="1" applyFont="1"/>
    <xf numFmtId="42" fontId="21" fillId="0" borderId="2" xfId="379" applyNumberFormat="1" applyFont="1" applyBorder="1"/>
    <xf numFmtId="10" fontId="21" fillId="0" borderId="0" xfId="1" applyNumberFormat="1" applyFont="1" applyFill="1"/>
    <xf numFmtId="0" fontId="24" fillId="0" borderId="24" xfId="0" applyFont="1" applyBorder="1" applyAlignment="1">
      <alignment horizontal="center" wrapText="1"/>
    </xf>
    <xf numFmtId="0" fontId="21" fillId="0" borderId="0" xfId="379" applyFont="1"/>
    <xf numFmtId="42" fontId="0" fillId="0" borderId="1" xfId="0" applyNumberFormat="1" applyBorder="1"/>
    <xf numFmtId="41" fontId="0" fillId="0" borderId="1" xfId="0" applyNumberFormat="1" applyBorder="1"/>
    <xf numFmtId="42" fontId="21" fillId="0" borderId="3" xfId="379" applyNumberFormat="1" applyFont="1" applyBorder="1"/>
    <xf numFmtId="0" fontId="26" fillId="0" borderId="0" xfId="0" applyFont="1" applyAlignment="1">
      <alignment horizontal="left"/>
    </xf>
    <xf numFmtId="0" fontId="64" fillId="0" borderId="0" xfId="0" applyFont="1"/>
    <xf numFmtId="0" fontId="54" fillId="0" borderId="0" xfId="0" applyFont="1"/>
    <xf numFmtId="42" fontId="0" fillId="0" borderId="0" xfId="1" applyNumberFormat="1" applyFont="1" applyFill="1"/>
    <xf numFmtId="42" fontId="25" fillId="0" borderId="0" xfId="1" applyNumberFormat="1" applyFont="1" applyFill="1" applyBorder="1"/>
    <xf numFmtId="0" fontId="24" fillId="0" borderId="6" xfId="0" applyFont="1" applyBorder="1" applyAlignment="1">
      <alignment horizontal="center"/>
    </xf>
    <xf numFmtId="41" fontId="25" fillId="0" borderId="0" xfId="1" applyNumberFormat="1" applyFont="1" applyFill="1" applyBorder="1"/>
    <xf numFmtId="164" fontId="21" fillId="0" borderId="3" xfId="2" applyNumberFormat="1" applyFont="1" applyFill="1" applyBorder="1"/>
    <xf numFmtId="42" fontId="0" fillId="0" borderId="25" xfId="0" applyNumberFormat="1" applyBorder="1"/>
    <xf numFmtId="3" fontId="25" fillId="0" borderId="2" xfId="0" applyNumberFormat="1" applyFont="1" applyBorder="1"/>
    <xf numFmtId="3" fontId="52" fillId="0" borderId="2" xfId="0" applyNumberFormat="1" applyFont="1" applyBorder="1"/>
    <xf numFmtId="3" fontId="25" fillId="0" borderId="25" xfId="1" applyNumberFormat="1" applyFont="1" applyFill="1" applyBorder="1"/>
    <xf numFmtId="3" fontId="25" fillId="0" borderId="0" xfId="1" applyNumberFormat="1" applyFont="1" applyFill="1" applyBorder="1"/>
    <xf numFmtId="0" fontId="58" fillId="0" borderId="0" xfId="0" applyFont="1"/>
    <xf numFmtId="41" fontId="65" fillId="0" borderId="0" xfId="0" applyNumberFormat="1" applyFont="1"/>
    <xf numFmtId="0" fontId="66" fillId="0" borderId="0" xfId="0" applyFont="1"/>
    <xf numFmtId="42" fontId="21" fillId="0" borderId="2" xfId="0" applyNumberFormat="1" applyFont="1" applyBorder="1"/>
    <xf numFmtId="41" fontId="21" fillId="0" borderId="0" xfId="379" applyNumberFormat="1" applyFont="1"/>
    <xf numFmtId="0" fontId="27" fillId="0" borderId="0" xfId="0" applyFont="1"/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 wrapText="1"/>
    </xf>
    <xf numFmtId="0" fontId="26" fillId="0" borderId="0" xfId="0" applyFont="1"/>
    <xf numFmtId="42" fontId="64" fillId="0" borderId="0" xfId="7" applyNumberFormat="1" applyFont="1" applyFill="1"/>
    <xf numFmtId="42" fontId="64" fillId="0" borderId="0" xfId="0" applyNumberFormat="1" applyFont="1"/>
    <xf numFmtId="10" fontId="64" fillId="0" borderId="0" xfId="0" applyNumberFormat="1" applyFont="1"/>
    <xf numFmtId="167" fontId="64" fillId="0" borderId="0" xfId="0" applyNumberFormat="1" applyFont="1"/>
    <xf numFmtId="167" fontId="64" fillId="0" borderId="7" xfId="0" applyNumberFormat="1" applyFont="1" applyBorder="1"/>
    <xf numFmtId="42" fontId="64" fillId="0" borderId="0" xfId="380" applyNumberFormat="1" applyFont="1" applyFill="1"/>
    <xf numFmtId="165" fontId="64" fillId="0" borderId="0" xfId="380" applyNumberFormat="1" applyFont="1" applyFill="1"/>
    <xf numFmtId="43" fontId="64" fillId="0" borderId="0" xfId="7" applyNumberFormat="1" applyFont="1" applyFill="1"/>
    <xf numFmtId="42" fontId="63" fillId="0" borderId="7" xfId="0" applyNumberFormat="1" applyFont="1" applyBorder="1"/>
    <xf numFmtId="0" fontId="60" fillId="0" borderId="0" xfId="0" applyFont="1" applyAlignment="1">
      <alignment horizontal="center"/>
    </xf>
    <xf numFmtId="0" fontId="68" fillId="0" borderId="0" xfId="0" applyFont="1"/>
    <xf numFmtId="42" fontId="24" fillId="35" borderId="0" xfId="0" applyNumberFormat="1" applyFont="1" applyFill="1"/>
    <xf numFmtId="0" fontId="24" fillId="35" borderId="22" xfId="0" applyFont="1" applyFill="1" applyBorder="1" applyAlignment="1">
      <alignment horizontal="center"/>
    </xf>
    <xf numFmtId="0" fontId="24" fillId="35" borderId="23" xfId="0" applyFont="1" applyFill="1" applyBorder="1" applyAlignment="1">
      <alignment horizontal="center" wrapText="1"/>
    </xf>
    <xf numFmtId="6" fontId="0" fillId="0" borderId="0" xfId="0" applyNumberFormat="1"/>
    <xf numFmtId="168" fontId="25" fillId="0" borderId="0" xfId="0" applyNumberFormat="1" applyFont="1"/>
    <xf numFmtId="165" fontId="24" fillId="0" borderId="0" xfId="1" applyNumberFormat="1" applyFont="1"/>
    <xf numFmtId="9" fontId="25" fillId="0" borderId="0" xfId="381" applyFont="1"/>
    <xf numFmtId="169" fontId="25" fillId="0" borderId="0" xfId="381" applyNumberFormat="1" applyFont="1"/>
    <xf numFmtId="165" fontId="25" fillId="0" borderId="0" xfId="1" applyNumberFormat="1" applyFont="1"/>
    <xf numFmtId="41" fontId="21" fillId="0" borderId="0" xfId="0" applyNumberFormat="1" applyFont="1"/>
    <xf numFmtId="43" fontId="21" fillId="0" borderId="0" xfId="1" applyFont="1" applyFill="1"/>
    <xf numFmtId="42" fontId="21" fillId="0" borderId="0" xfId="0" applyNumberFormat="1" applyFont="1"/>
    <xf numFmtId="165" fontId="21" fillId="0" borderId="0" xfId="0" applyNumberFormat="1" applyFont="1"/>
    <xf numFmtId="41" fontId="21" fillId="0" borderId="2" xfId="0" applyNumberFormat="1" applyFont="1" applyBorder="1"/>
    <xf numFmtId="41" fontId="21" fillId="0" borderId="25" xfId="0" applyNumberFormat="1" applyFont="1" applyBorder="1"/>
    <xf numFmtId="41" fontId="24" fillId="35" borderId="0" xfId="0" applyNumberFormat="1" applyFont="1" applyFill="1"/>
    <xf numFmtId="42" fontId="24" fillId="35" borderId="2" xfId="0" applyNumberFormat="1" applyFont="1" applyFill="1" applyBorder="1"/>
    <xf numFmtId="0" fontId="24" fillId="35" borderId="0" xfId="0" applyFont="1" applyFill="1"/>
    <xf numFmtId="42" fontId="24" fillId="35" borderId="0" xfId="1" applyNumberFormat="1" applyFont="1" applyFill="1" applyBorder="1"/>
    <xf numFmtId="42" fontId="24" fillId="35" borderId="0" xfId="1" applyNumberFormat="1" applyFont="1" applyFill="1"/>
    <xf numFmtId="0" fontId="26" fillId="35" borderId="22" xfId="0" applyFont="1" applyFill="1" applyBorder="1" applyAlignment="1">
      <alignment horizontal="center"/>
    </xf>
    <xf numFmtId="42" fontId="63" fillId="35" borderId="7" xfId="0" applyNumberFormat="1" applyFont="1" applyFill="1" applyBorder="1"/>
    <xf numFmtId="0" fontId="26" fillId="35" borderId="0" xfId="0" applyFont="1" applyFill="1"/>
    <xf numFmtId="42" fontId="63" fillId="35" borderId="0" xfId="0" applyNumberFormat="1" applyFont="1" applyFill="1"/>
    <xf numFmtId="10" fontId="63" fillId="35" borderId="0" xfId="0" applyNumberFormat="1" applyFont="1" applyFill="1"/>
    <xf numFmtId="0" fontId="63" fillId="35" borderId="0" xfId="0" applyFont="1" applyFill="1"/>
    <xf numFmtId="167" fontId="63" fillId="35" borderId="0" xfId="0" applyNumberFormat="1" applyFont="1" applyFill="1"/>
    <xf numFmtId="167" fontId="63" fillId="35" borderId="7" xfId="0" applyNumberFormat="1" applyFont="1" applyFill="1" applyBorder="1"/>
    <xf numFmtId="42" fontId="63" fillId="35" borderId="0" xfId="7" applyNumberFormat="1" applyFont="1" applyFill="1"/>
    <xf numFmtId="42" fontId="63" fillId="35" borderId="0" xfId="380" applyNumberFormat="1" applyFont="1" applyFill="1"/>
    <xf numFmtId="165" fontId="63" fillId="35" borderId="0" xfId="380" applyNumberFormat="1" applyFont="1" applyFill="1"/>
    <xf numFmtId="43" fontId="63" fillId="35" borderId="0" xfId="7" applyNumberFormat="1" applyFont="1" applyFill="1"/>
    <xf numFmtId="42" fontId="64" fillId="0" borderId="7" xfId="0" applyNumberFormat="1" applyFont="1" applyBorder="1"/>
    <xf numFmtId="0" fontId="26" fillId="35" borderId="23" xfId="0" applyFont="1" applyFill="1" applyBorder="1" applyAlignment="1">
      <alignment horizontal="center" wrapText="1"/>
    </xf>
    <xf numFmtId="0" fontId="70" fillId="0" borderId="0" xfId="0" applyFont="1" applyAlignment="1">
      <alignment horizontal="center"/>
    </xf>
    <xf numFmtId="42" fontId="63" fillId="0" borderId="0" xfId="0" applyNumberFormat="1" applyFont="1"/>
    <xf numFmtId="10" fontId="63" fillId="0" borderId="0" xfId="0" applyNumberFormat="1" applyFont="1"/>
    <xf numFmtId="0" fontId="63" fillId="0" borderId="0" xfId="0" applyFont="1"/>
    <xf numFmtId="167" fontId="63" fillId="0" borderId="0" xfId="0" applyNumberFormat="1" applyFont="1"/>
    <xf numFmtId="167" fontId="63" fillId="0" borderId="7" xfId="0" applyNumberFormat="1" applyFont="1" applyBorder="1"/>
    <xf numFmtId="42" fontId="63" fillId="0" borderId="0" xfId="7" applyNumberFormat="1" applyFont="1" applyFill="1"/>
    <xf numFmtId="42" fontId="63" fillId="0" borderId="0" xfId="380" applyNumberFormat="1" applyFont="1" applyFill="1"/>
    <xf numFmtId="165" fontId="63" fillId="0" borderId="0" xfId="380" applyNumberFormat="1" applyFont="1" applyFill="1"/>
    <xf numFmtId="43" fontId="63" fillId="0" borderId="0" xfId="7" applyNumberFormat="1" applyFont="1" applyFill="1"/>
    <xf numFmtId="17" fontId="24" fillId="0" borderId="23" xfId="0" applyNumberFormat="1" applyFont="1" applyBorder="1" applyAlignment="1">
      <alignment horizontal="center" wrapText="1"/>
    </xf>
    <xf numFmtId="17" fontId="24" fillId="0" borderId="24" xfId="0" applyNumberFormat="1" applyFont="1" applyBorder="1" applyAlignment="1">
      <alignment horizontal="center" wrapText="1"/>
    </xf>
    <xf numFmtId="9" fontId="21" fillId="0" borderId="0" xfId="381" applyFont="1"/>
    <xf numFmtId="0" fontId="71" fillId="0" borderId="0" xfId="0" applyFont="1"/>
    <xf numFmtId="43" fontId="21" fillId="0" borderId="0" xfId="0" applyNumberFormat="1" applyFont="1"/>
    <xf numFmtId="0" fontId="65" fillId="0" borderId="0" xfId="0" applyFont="1"/>
    <xf numFmtId="0" fontId="72" fillId="0" borderId="0" xfId="0" applyFont="1"/>
    <xf numFmtId="0" fontId="71" fillId="0" borderId="0" xfId="379" applyFont="1"/>
    <xf numFmtId="0" fontId="55" fillId="0" borderId="0" xfId="379" applyFont="1"/>
    <xf numFmtId="0" fontId="55" fillId="36" borderId="0" xfId="379" applyFont="1" applyFill="1"/>
    <xf numFmtId="0" fontId="0" fillId="0" borderId="23" xfId="0" applyBorder="1"/>
    <xf numFmtId="17" fontId="24" fillId="0" borderId="23" xfId="0" quotePrefix="1" applyNumberFormat="1" applyFont="1" applyBorder="1" applyAlignment="1">
      <alignment horizontal="center" wrapText="1"/>
    </xf>
    <xf numFmtId="42" fontId="21" fillId="0" borderId="25" xfId="379" applyNumberFormat="1" applyFont="1" applyBorder="1"/>
    <xf numFmtId="0" fontId="25" fillId="35" borderId="0" xfId="0" applyFont="1" applyFill="1"/>
    <xf numFmtId="42" fontId="25" fillId="35" borderId="0" xfId="0" applyNumberFormat="1" applyFont="1" applyFill="1"/>
    <xf numFmtId="42" fontId="0" fillId="35" borderId="0" xfId="0" applyNumberFormat="1" applyFill="1"/>
    <xf numFmtId="41" fontId="24" fillId="35" borderId="0" xfId="1" applyNumberFormat="1" applyFont="1" applyFill="1"/>
    <xf numFmtId="165" fontId="24" fillId="35" borderId="0" xfId="1" applyNumberFormat="1" applyFont="1" applyFill="1"/>
    <xf numFmtId="42" fontId="21" fillId="0" borderId="3" xfId="0" applyNumberFormat="1" applyFont="1" applyBorder="1"/>
    <xf numFmtId="42" fontId="21" fillId="0" borderId="3" xfId="2" applyNumberFormat="1" applyFont="1" applyFill="1" applyBorder="1"/>
    <xf numFmtId="0" fontId="24" fillId="35" borderId="23" xfId="379" applyFont="1" applyFill="1" applyBorder="1" applyAlignment="1">
      <alignment horizontal="center" wrapText="1"/>
    </xf>
    <xf numFmtId="42" fontId="24" fillId="35" borderId="2" xfId="1" applyNumberFormat="1" applyFont="1" applyFill="1" applyBorder="1"/>
    <xf numFmtId="41" fontId="24" fillId="35" borderId="0" xfId="1" applyNumberFormat="1" applyFont="1" applyFill="1" applyBorder="1"/>
    <xf numFmtId="41" fontId="24" fillId="35" borderId="1" xfId="0" applyNumberFormat="1" applyFont="1" applyFill="1" applyBorder="1"/>
    <xf numFmtId="42" fontId="24" fillId="35" borderId="3" xfId="0" applyNumberFormat="1" applyFont="1" applyFill="1" applyBorder="1"/>
    <xf numFmtId="0" fontId="24" fillId="37" borderId="22" xfId="379" applyFont="1" applyFill="1" applyBorder="1" applyAlignment="1">
      <alignment horizontal="center"/>
    </xf>
    <xf numFmtId="0" fontId="24" fillId="37" borderId="23" xfId="379" applyFont="1" applyFill="1" applyBorder="1" applyAlignment="1">
      <alignment horizontal="center" wrapText="1"/>
    </xf>
    <xf numFmtId="0" fontId="52" fillId="37" borderId="0" xfId="379" applyFill="1"/>
    <xf numFmtId="42" fontId="24" fillId="37" borderId="0" xfId="1" applyNumberFormat="1" applyFont="1" applyFill="1"/>
    <xf numFmtId="41" fontId="24" fillId="37" borderId="0" xfId="1" applyNumberFormat="1" applyFont="1" applyFill="1"/>
    <xf numFmtId="165" fontId="24" fillId="37" borderId="25" xfId="1" applyNumberFormat="1" applyFont="1" applyFill="1" applyBorder="1"/>
    <xf numFmtId="165" fontId="24" fillId="37" borderId="0" xfId="1" applyNumberFormat="1" applyFont="1" applyFill="1"/>
    <xf numFmtId="42" fontId="24" fillId="37" borderId="0" xfId="379" applyNumberFormat="1" applyFont="1" applyFill="1"/>
    <xf numFmtId="42" fontId="21" fillId="0" borderId="25" xfId="0" applyNumberFormat="1" applyFont="1" applyBorder="1"/>
    <xf numFmtId="42" fontId="25" fillId="0" borderId="25" xfId="0" applyNumberFormat="1" applyFont="1" applyBorder="1"/>
    <xf numFmtId="6" fontId="21" fillId="0" borderId="21" xfId="1" applyNumberFormat="1" applyFont="1" applyFill="1" applyBorder="1"/>
    <xf numFmtId="0" fontId="73" fillId="0" borderId="23" xfId="0" applyFont="1" applyBorder="1" applyAlignment="1">
      <alignment horizontal="center" wrapText="1"/>
    </xf>
    <xf numFmtId="16" fontId="24" fillId="0" borderId="23" xfId="0" applyNumberFormat="1" applyFont="1" applyBorder="1" applyAlignment="1">
      <alignment wrapText="1"/>
    </xf>
    <xf numFmtId="167" fontId="63" fillId="33" borderId="0" xfId="0" applyNumberFormat="1" applyFont="1" applyFill="1"/>
    <xf numFmtId="42" fontId="63" fillId="33" borderId="0" xfId="7" applyNumberFormat="1" applyFont="1" applyFill="1"/>
    <xf numFmtId="42" fontId="63" fillId="33" borderId="0" xfId="380" applyNumberFormat="1" applyFont="1" applyFill="1"/>
    <xf numFmtId="42" fontId="63" fillId="33" borderId="7" xfId="0" applyNumberFormat="1" applyFont="1" applyFill="1" applyBorder="1"/>
    <xf numFmtId="44" fontId="0" fillId="0" borderId="0" xfId="0" applyNumberFormat="1"/>
    <xf numFmtId="9" fontId="21" fillId="0" borderId="0" xfId="0" applyNumberFormat="1" applyFont="1"/>
    <xf numFmtId="0" fontId="25" fillId="36" borderId="0" xfId="0" applyFont="1" applyFill="1"/>
    <xf numFmtId="0" fontId="24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center" wrapText="1"/>
    </xf>
    <xf numFmtId="0" fontId="0" fillId="33" borderId="0" xfId="0" applyFill="1"/>
    <xf numFmtId="41" fontId="0" fillId="33" borderId="0" xfId="0" applyNumberFormat="1" applyFill="1"/>
    <xf numFmtId="0" fontId="21" fillId="33" borderId="0" xfId="0" applyFont="1" applyFill="1"/>
    <xf numFmtId="10" fontId="21" fillId="0" borderId="0" xfId="381" applyNumberFormat="1" applyFont="1"/>
    <xf numFmtId="9" fontId="21" fillId="0" borderId="0" xfId="381" applyFont="1" applyFill="1"/>
    <xf numFmtId="0" fontId="74" fillId="0" borderId="0" xfId="0" applyFont="1"/>
    <xf numFmtId="41" fontId="24" fillId="37" borderId="25" xfId="1" applyNumberFormat="1" applyFont="1" applyFill="1" applyBorder="1"/>
    <xf numFmtId="42" fontId="21" fillId="35" borderId="21" xfId="1" applyNumberFormat="1" applyFont="1" applyFill="1" applyBorder="1"/>
    <xf numFmtId="41" fontId="24" fillId="36" borderId="0" xfId="1" applyNumberFormat="1" applyFont="1" applyFill="1"/>
    <xf numFmtId="42" fontId="52" fillId="0" borderId="0" xfId="380" applyNumberFormat="1" applyFont="1" applyFill="1" applyBorder="1"/>
    <xf numFmtId="41" fontId="21" fillId="0" borderId="25" xfId="379" applyNumberFormat="1" applyFont="1" applyBorder="1"/>
    <xf numFmtId="165" fontId="24" fillId="36" borderId="0" xfId="1" applyNumberFormat="1" applyFont="1" applyFill="1"/>
    <xf numFmtId="42" fontId="0" fillId="36" borderId="21" xfId="0" applyNumberFormat="1" applyFill="1" applyBorder="1"/>
    <xf numFmtId="42" fontId="24" fillId="35" borderId="21" xfId="1" applyNumberFormat="1" applyFont="1" applyFill="1" applyBorder="1"/>
    <xf numFmtId="6" fontId="24" fillId="35" borderId="21" xfId="1" applyNumberFormat="1" applyFont="1" applyFill="1" applyBorder="1"/>
    <xf numFmtId="42" fontId="24" fillId="35" borderId="3" xfId="2" applyNumberFormat="1" applyFont="1" applyFill="1" applyBorder="1"/>
    <xf numFmtId="41" fontId="0" fillId="0" borderId="25" xfId="0" applyNumberFormat="1" applyBorder="1"/>
    <xf numFmtId="41" fontId="24" fillId="35" borderId="25" xfId="0" applyNumberFormat="1" applyFont="1" applyFill="1" applyBorder="1"/>
    <xf numFmtId="42" fontId="24" fillId="35" borderId="25" xfId="0" applyNumberFormat="1" applyFont="1" applyFill="1" applyBorder="1"/>
    <xf numFmtId="42" fontId="24" fillId="35" borderId="2" xfId="379" applyNumberFormat="1" applyFont="1" applyFill="1" applyBorder="1"/>
    <xf numFmtId="42" fontId="0" fillId="33" borderId="0" xfId="0" applyNumberFormat="1" applyFill="1"/>
    <xf numFmtId="42" fontId="24" fillId="36" borderId="0" xfId="1" applyNumberFormat="1" applyFont="1" applyFill="1"/>
    <xf numFmtId="41" fontId="24" fillId="36" borderId="0" xfId="0" applyNumberFormat="1" applyFont="1" applyFill="1"/>
    <xf numFmtId="41" fontId="24" fillId="37" borderId="0" xfId="379" applyNumberFormat="1" applyFont="1" applyFill="1"/>
    <xf numFmtId="41" fontId="24" fillId="37" borderId="25" xfId="379" applyNumberFormat="1" applyFont="1" applyFill="1" applyBorder="1"/>
    <xf numFmtId="42" fontId="24" fillId="37" borderId="2" xfId="379" applyNumberFormat="1" applyFont="1" applyFill="1" applyBorder="1"/>
    <xf numFmtId="42" fontId="24" fillId="37" borderId="25" xfId="1" applyNumberFormat="1" applyFont="1" applyFill="1" applyBorder="1"/>
    <xf numFmtId="42" fontId="24" fillId="37" borderId="3" xfId="379" applyNumberFormat="1" applyFont="1" applyFill="1" applyBorder="1"/>
    <xf numFmtId="164" fontId="26" fillId="0" borderId="0" xfId="0" applyNumberFormat="1" applyFont="1"/>
    <xf numFmtId="41" fontId="75" fillId="0" borderId="0" xfId="0" applyNumberFormat="1" applyFont="1"/>
    <xf numFmtId="41" fontId="70" fillId="35" borderId="0" xfId="0" applyNumberFormat="1" applyFont="1" applyFill="1"/>
    <xf numFmtId="42" fontId="75" fillId="33" borderId="2" xfId="0" applyNumberFormat="1" applyFont="1" applyFill="1" applyBorder="1"/>
    <xf numFmtId="42" fontId="70" fillId="35" borderId="2" xfId="0" applyNumberFormat="1" applyFont="1" applyFill="1" applyBorder="1"/>
    <xf numFmtId="42" fontId="75" fillId="0" borderId="2" xfId="0" applyNumberFormat="1" applyFont="1" applyBorder="1"/>
    <xf numFmtId="41" fontId="21" fillId="0" borderId="25" xfId="1" applyNumberFormat="1" applyFont="1" applyFill="1" applyBorder="1"/>
    <xf numFmtId="0" fontId="70" fillId="0" borderId="0" xfId="0" applyFont="1" applyAlignment="1">
      <alignment horizontal="left" wrapText="1"/>
    </xf>
    <xf numFmtId="0" fontId="75" fillId="0" borderId="0" xfId="0" applyFont="1"/>
    <xf numFmtId="41" fontId="75" fillId="0" borderId="0" xfId="1" applyNumberFormat="1" applyFont="1" applyFill="1"/>
    <xf numFmtId="41" fontId="70" fillId="35" borderId="0" xfId="1" applyNumberFormat="1" applyFont="1" applyFill="1"/>
    <xf numFmtId="41" fontId="75" fillId="0" borderId="25" xfId="1" applyNumberFormat="1" applyFont="1" applyFill="1" applyBorder="1"/>
    <xf numFmtId="41" fontId="70" fillId="35" borderId="25" xfId="1" applyNumberFormat="1" applyFont="1" applyFill="1" applyBorder="1"/>
    <xf numFmtId="42" fontId="75" fillId="0" borderId="25" xfId="0" applyNumberFormat="1" applyFont="1" applyBorder="1"/>
    <xf numFmtId="42" fontId="75" fillId="35" borderId="25" xfId="0" applyNumberFormat="1" applyFont="1" applyFill="1" applyBorder="1"/>
    <xf numFmtId="42" fontId="75" fillId="0" borderId="2" xfId="1" applyNumberFormat="1" applyFont="1" applyFill="1" applyBorder="1"/>
    <xf numFmtId="42" fontId="70" fillId="35" borderId="2" xfId="1" applyNumberFormat="1" applyFont="1" applyFill="1" applyBorder="1"/>
    <xf numFmtId="0" fontId="24" fillId="0" borderId="0" xfId="0" applyFont="1" applyAlignment="1">
      <alignment horizontal="center"/>
    </xf>
    <xf numFmtId="0" fontId="21" fillId="0" borderId="0" xfId="0" applyFont="1"/>
    <xf numFmtId="0" fontId="0" fillId="0" borderId="0" xfId="0"/>
    <xf numFmtId="0" fontId="56" fillId="34" borderId="0" xfId="0" applyFont="1" applyFill="1" applyAlignment="1">
      <alignment horizontal="center"/>
    </xf>
    <xf numFmtId="0" fontId="57" fillId="34" borderId="0" xfId="0" applyFont="1" applyFill="1"/>
    <xf numFmtId="0" fontId="0" fillId="34" borderId="0" xfId="0" applyFill="1"/>
    <xf numFmtId="0" fontId="31" fillId="0" borderId="0" xfId="0" applyFont="1" applyAlignment="1">
      <alignment horizontal="center"/>
    </xf>
    <xf numFmtId="0" fontId="58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0" fontId="56" fillId="34" borderId="0" xfId="379" applyFont="1" applyFill="1" applyAlignment="1">
      <alignment horizontal="center"/>
    </xf>
    <xf numFmtId="0" fontId="31" fillId="0" borderId="0" xfId="379" applyFont="1" applyAlignment="1">
      <alignment horizontal="center"/>
    </xf>
    <xf numFmtId="0" fontId="59" fillId="34" borderId="0" xfId="0" applyFont="1" applyFill="1" applyAlignment="1">
      <alignment horizontal="center" vertical="center"/>
    </xf>
    <xf numFmtId="0" fontId="67" fillId="34" borderId="0" xfId="0" applyFont="1" applyFill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9" fillId="34" borderId="0" xfId="0" applyFont="1" applyFill="1" applyAlignment="1">
      <alignment horizontal="center"/>
    </xf>
    <xf numFmtId="0" fontId="67" fillId="34" borderId="0" xfId="0" applyFont="1" applyFill="1"/>
    <xf numFmtId="0" fontId="60" fillId="34" borderId="0" xfId="0" applyFont="1" applyFill="1" applyAlignment="1">
      <alignment horizontal="center"/>
    </xf>
    <xf numFmtId="0" fontId="68" fillId="34" borderId="0" xfId="0" applyFont="1" applyFill="1"/>
  </cellXfs>
  <cellStyles count="382">
    <cellStyle name="20% - Accent1" xfId="26" builtinId="30" customBuiltin="1"/>
    <cellStyle name="20% - Accent1 10" xfId="166"/>
    <cellStyle name="20% - Accent1 11" xfId="180"/>
    <cellStyle name="20% - Accent1 12" xfId="194"/>
    <cellStyle name="20% - Accent1 13" xfId="208"/>
    <cellStyle name="20% - Accent1 14" xfId="222"/>
    <cellStyle name="20% - Accent1 15" xfId="236"/>
    <cellStyle name="20% - Accent1 16" xfId="252"/>
    <cellStyle name="20% - Accent1 17" xfId="322"/>
    <cellStyle name="20% - Accent1 18" xfId="339"/>
    <cellStyle name="20% - Accent1 19" xfId="353"/>
    <cellStyle name="20% - Accent1 2" xfId="54"/>
    <cellStyle name="20% - Accent1 2 2" xfId="268"/>
    <cellStyle name="20% - Accent1 20" xfId="367"/>
    <cellStyle name="20% - Accent1 3" xfId="68"/>
    <cellStyle name="20% - Accent1 3 2" xfId="282"/>
    <cellStyle name="20% - Accent1 4" xfId="82"/>
    <cellStyle name="20% - Accent1 4 2" xfId="296"/>
    <cellStyle name="20% - Accent1 5" xfId="96"/>
    <cellStyle name="20% - Accent1 5 2" xfId="310"/>
    <cellStyle name="20% - Accent1 6" xfId="110"/>
    <cellStyle name="20% - Accent1 7" xfId="124"/>
    <cellStyle name="20% - Accent1 8" xfId="138"/>
    <cellStyle name="20% - Accent1 9" xfId="152"/>
    <cellStyle name="20% - Accent2" xfId="30" builtinId="34" customBuiltin="1"/>
    <cellStyle name="20% - Accent2 10" xfId="168"/>
    <cellStyle name="20% - Accent2 11" xfId="182"/>
    <cellStyle name="20% - Accent2 12" xfId="196"/>
    <cellStyle name="20% - Accent2 13" xfId="210"/>
    <cellStyle name="20% - Accent2 14" xfId="224"/>
    <cellStyle name="20% - Accent2 15" xfId="238"/>
    <cellStyle name="20% - Accent2 16" xfId="254"/>
    <cellStyle name="20% - Accent2 17" xfId="323"/>
    <cellStyle name="20% - Accent2 18" xfId="341"/>
    <cellStyle name="20% - Accent2 19" xfId="355"/>
    <cellStyle name="20% - Accent2 2" xfId="56"/>
    <cellStyle name="20% - Accent2 2 2" xfId="270"/>
    <cellStyle name="20% - Accent2 20" xfId="369"/>
    <cellStyle name="20% - Accent2 3" xfId="70"/>
    <cellStyle name="20% - Accent2 3 2" xfId="284"/>
    <cellStyle name="20% - Accent2 4" xfId="84"/>
    <cellStyle name="20% - Accent2 4 2" xfId="298"/>
    <cellStyle name="20% - Accent2 5" xfId="98"/>
    <cellStyle name="20% - Accent2 5 2" xfId="312"/>
    <cellStyle name="20% - Accent2 6" xfId="112"/>
    <cellStyle name="20% - Accent2 7" xfId="126"/>
    <cellStyle name="20% - Accent2 8" xfId="140"/>
    <cellStyle name="20% - Accent2 9" xfId="154"/>
    <cellStyle name="20% - Accent3" xfId="34" builtinId="38" customBuiltin="1"/>
    <cellStyle name="20% - Accent3 10" xfId="170"/>
    <cellStyle name="20% - Accent3 11" xfId="184"/>
    <cellStyle name="20% - Accent3 12" xfId="198"/>
    <cellStyle name="20% - Accent3 13" xfId="212"/>
    <cellStyle name="20% - Accent3 14" xfId="226"/>
    <cellStyle name="20% - Accent3 15" xfId="240"/>
    <cellStyle name="20% - Accent3 16" xfId="256"/>
    <cellStyle name="20% - Accent3 17" xfId="324"/>
    <cellStyle name="20% - Accent3 18" xfId="343"/>
    <cellStyle name="20% - Accent3 19" xfId="357"/>
    <cellStyle name="20% - Accent3 2" xfId="58"/>
    <cellStyle name="20% - Accent3 2 2" xfId="272"/>
    <cellStyle name="20% - Accent3 20" xfId="371"/>
    <cellStyle name="20% - Accent3 3" xfId="72"/>
    <cellStyle name="20% - Accent3 3 2" xfId="286"/>
    <cellStyle name="20% - Accent3 4" xfId="86"/>
    <cellStyle name="20% - Accent3 4 2" xfId="300"/>
    <cellStyle name="20% - Accent3 5" xfId="100"/>
    <cellStyle name="20% - Accent3 5 2" xfId="314"/>
    <cellStyle name="20% - Accent3 6" xfId="114"/>
    <cellStyle name="20% - Accent3 7" xfId="128"/>
    <cellStyle name="20% - Accent3 8" xfId="142"/>
    <cellStyle name="20% - Accent3 9" xfId="156"/>
    <cellStyle name="20% - Accent4" xfId="38" builtinId="42" customBuiltin="1"/>
    <cellStyle name="20% - Accent4 10" xfId="172"/>
    <cellStyle name="20% - Accent4 11" xfId="186"/>
    <cellStyle name="20% - Accent4 12" xfId="200"/>
    <cellStyle name="20% - Accent4 13" xfId="214"/>
    <cellStyle name="20% - Accent4 14" xfId="228"/>
    <cellStyle name="20% - Accent4 15" xfId="242"/>
    <cellStyle name="20% - Accent4 16" xfId="258"/>
    <cellStyle name="20% - Accent4 17" xfId="325"/>
    <cellStyle name="20% - Accent4 18" xfId="345"/>
    <cellStyle name="20% - Accent4 19" xfId="359"/>
    <cellStyle name="20% - Accent4 2" xfId="60"/>
    <cellStyle name="20% - Accent4 2 2" xfId="274"/>
    <cellStyle name="20% - Accent4 20" xfId="373"/>
    <cellStyle name="20% - Accent4 3" xfId="74"/>
    <cellStyle name="20% - Accent4 3 2" xfId="288"/>
    <cellStyle name="20% - Accent4 4" xfId="88"/>
    <cellStyle name="20% - Accent4 4 2" xfId="302"/>
    <cellStyle name="20% - Accent4 5" xfId="102"/>
    <cellStyle name="20% - Accent4 5 2" xfId="316"/>
    <cellStyle name="20% - Accent4 6" xfId="116"/>
    <cellStyle name="20% - Accent4 7" xfId="130"/>
    <cellStyle name="20% - Accent4 8" xfId="144"/>
    <cellStyle name="20% - Accent4 9" xfId="158"/>
    <cellStyle name="20% - Accent5" xfId="42" builtinId="46" customBuiltin="1"/>
    <cellStyle name="20% - Accent5 10" xfId="174"/>
    <cellStyle name="20% - Accent5 11" xfId="188"/>
    <cellStyle name="20% - Accent5 12" xfId="202"/>
    <cellStyle name="20% - Accent5 13" xfId="216"/>
    <cellStyle name="20% - Accent5 14" xfId="230"/>
    <cellStyle name="20% - Accent5 15" xfId="244"/>
    <cellStyle name="20% - Accent5 16" xfId="260"/>
    <cellStyle name="20% - Accent5 17" xfId="326"/>
    <cellStyle name="20% - Accent5 18" xfId="347"/>
    <cellStyle name="20% - Accent5 19" xfId="361"/>
    <cellStyle name="20% - Accent5 2" xfId="62"/>
    <cellStyle name="20% - Accent5 2 2" xfId="276"/>
    <cellStyle name="20% - Accent5 20" xfId="375"/>
    <cellStyle name="20% - Accent5 3" xfId="76"/>
    <cellStyle name="20% - Accent5 3 2" xfId="290"/>
    <cellStyle name="20% - Accent5 4" xfId="90"/>
    <cellStyle name="20% - Accent5 4 2" xfId="304"/>
    <cellStyle name="20% - Accent5 5" xfId="104"/>
    <cellStyle name="20% - Accent5 5 2" xfId="318"/>
    <cellStyle name="20% - Accent5 6" xfId="118"/>
    <cellStyle name="20% - Accent5 7" xfId="132"/>
    <cellStyle name="20% - Accent5 8" xfId="146"/>
    <cellStyle name="20% - Accent5 9" xfId="160"/>
    <cellStyle name="20% - Accent6" xfId="46" builtinId="50" customBuiltin="1"/>
    <cellStyle name="20% - Accent6 10" xfId="176"/>
    <cellStyle name="20% - Accent6 11" xfId="190"/>
    <cellStyle name="20% - Accent6 12" xfId="204"/>
    <cellStyle name="20% - Accent6 13" xfId="218"/>
    <cellStyle name="20% - Accent6 14" xfId="232"/>
    <cellStyle name="20% - Accent6 15" xfId="246"/>
    <cellStyle name="20% - Accent6 16" xfId="262"/>
    <cellStyle name="20% - Accent6 17" xfId="327"/>
    <cellStyle name="20% - Accent6 18" xfId="349"/>
    <cellStyle name="20% - Accent6 19" xfId="363"/>
    <cellStyle name="20% - Accent6 2" xfId="64"/>
    <cellStyle name="20% - Accent6 2 2" xfId="278"/>
    <cellStyle name="20% - Accent6 20" xfId="377"/>
    <cellStyle name="20% - Accent6 3" xfId="78"/>
    <cellStyle name="20% - Accent6 3 2" xfId="292"/>
    <cellStyle name="20% - Accent6 4" xfId="92"/>
    <cellStyle name="20% - Accent6 4 2" xfId="306"/>
    <cellStyle name="20% - Accent6 5" xfId="106"/>
    <cellStyle name="20% - Accent6 5 2" xfId="320"/>
    <cellStyle name="20% - Accent6 6" xfId="120"/>
    <cellStyle name="20% - Accent6 7" xfId="134"/>
    <cellStyle name="20% - Accent6 8" xfId="148"/>
    <cellStyle name="20% - Accent6 9" xfId="162"/>
    <cellStyle name="40% - Accent1" xfId="27" builtinId="31" customBuiltin="1"/>
    <cellStyle name="40% - Accent1 10" xfId="167"/>
    <cellStyle name="40% - Accent1 11" xfId="181"/>
    <cellStyle name="40% - Accent1 12" xfId="195"/>
    <cellStyle name="40% - Accent1 13" xfId="209"/>
    <cellStyle name="40% - Accent1 14" xfId="223"/>
    <cellStyle name="40% - Accent1 15" xfId="237"/>
    <cellStyle name="40% - Accent1 16" xfId="253"/>
    <cellStyle name="40% - Accent1 17" xfId="328"/>
    <cellStyle name="40% - Accent1 18" xfId="340"/>
    <cellStyle name="40% - Accent1 19" xfId="354"/>
    <cellStyle name="40% - Accent1 2" xfId="55"/>
    <cellStyle name="40% - Accent1 2 2" xfId="269"/>
    <cellStyle name="40% - Accent1 20" xfId="368"/>
    <cellStyle name="40% - Accent1 3" xfId="69"/>
    <cellStyle name="40% - Accent1 3 2" xfId="283"/>
    <cellStyle name="40% - Accent1 4" xfId="83"/>
    <cellStyle name="40% - Accent1 4 2" xfId="297"/>
    <cellStyle name="40% - Accent1 5" xfId="97"/>
    <cellStyle name="40% - Accent1 5 2" xfId="311"/>
    <cellStyle name="40% - Accent1 6" xfId="111"/>
    <cellStyle name="40% - Accent1 7" xfId="125"/>
    <cellStyle name="40% - Accent1 8" xfId="139"/>
    <cellStyle name="40% - Accent1 9" xfId="153"/>
    <cellStyle name="40% - Accent2" xfId="31" builtinId="35" customBuiltin="1"/>
    <cellStyle name="40% - Accent2 10" xfId="169"/>
    <cellStyle name="40% - Accent2 11" xfId="183"/>
    <cellStyle name="40% - Accent2 12" xfId="197"/>
    <cellStyle name="40% - Accent2 13" xfId="211"/>
    <cellStyle name="40% - Accent2 14" xfId="225"/>
    <cellStyle name="40% - Accent2 15" xfId="239"/>
    <cellStyle name="40% - Accent2 16" xfId="255"/>
    <cellStyle name="40% - Accent2 17" xfId="329"/>
    <cellStyle name="40% - Accent2 18" xfId="342"/>
    <cellStyle name="40% - Accent2 19" xfId="356"/>
    <cellStyle name="40% - Accent2 2" xfId="57"/>
    <cellStyle name="40% - Accent2 2 2" xfId="271"/>
    <cellStyle name="40% - Accent2 20" xfId="370"/>
    <cellStyle name="40% - Accent2 3" xfId="71"/>
    <cellStyle name="40% - Accent2 3 2" xfId="285"/>
    <cellStyle name="40% - Accent2 4" xfId="85"/>
    <cellStyle name="40% - Accent2 4 2" xfId="299"/>
    <cellStyle name="40% - Accent2 5" xfId="99"/>
    <cellStyle name="40% - Accent2 5 2" xfId="313"/>
    <cellStyle name="40% - Accent2 6" xfId="113"/>
    <cellStyle name="40% - Accent2 7" xfId="127"/>
    <cellStyle name="40% - Accent2 8" xfId="141"/>
    <cellStyle name="40% - Accent2 9" xfId="155"/>
    <cellStyle name="40% - Accent3" xfId="35" builtinId="39" customBuiltin="1"/>
    <cellStyle name="40% - Accent3 10" xfId="171"/>
    <cellStyle name="40% - Accent3 11" xfId="185"/>
    <cellStyle name="40% - Accent3 12" xfId="199"/>
    <cellStyle name="40% - Accent3 13" xfId="213"/>
    <cellStyle name="40% - Accent3 14" xfId="227"/>
    <cellStyle name="40% - Accent3 15" xfId="241"/>
    <cellStyle name="40% - Accent3 16" xfId="257"/>
    <cellStyle name="40% - Accent3 17" xfId="330"/>
    <cellStyle name="40% - Accent3 18" xfId="344"/>
    <cellStyle name="40% - Accent3 19" xfId="358"/>
    <cellStyle name="40% - Accent3 2" xfId="59"/>
    <cellStyle name="40% - Accent3 2 2" xfId="273"/>
    <cellStyle name="40% - Accent3 20" xfId="372"/>
    <cellStyle name="40% - Accent3 3" xfId="73"/>
    <cellStyle name="40% - Accent3 3 2" xfId="287"/>
    <cellStyle name="40% - Accent3 4" xfId="87"/>
    <cellStyle name="40% - Accent3 4 2" xfId="301"/>
    <cellStyle name="40% - Accent3 5" xfId="101"/>
    <cellStyle name="40% - Accent3 5 2" xfId="315"/>
    <cellStyle name="40% - Accent3 6" xfId="115"/>
    <cellStyle name="40% - Accent3 7" xfId="129"/>
    <cellStyle name="40% - Accent3 8" xfId="143"/>
    <cellStyle name="40% - Accent3 9" xfId="157"/>
    <cellStyle name="40% - Accent4" xfId="39" builtinId="43" customBuiltin="1"/>
    <cellStyle name="40% - Accent4 10" xfId="173"/>
    <cellStyle name="40% - Accent4 11" xfId="187"/>
    <cellStyle name="40% - Accent4 12" xfId="201"/>
    <cellStyle name="40% - Accent4 13" xfId="215"/>
    <cellStyle name="40% - Accent4 14" xfId="229"/>
    <cellStyle name="40% - Accent4 15" xfId="243"/>
    <cellStyle name="40% - Accent4 16" xfId="259"/>
    <cellStyle name="40% - Accent4 17" xfId="331"/>
    <cellStyle name="40% - Accent4 18" xfId="346"/>
    <cellStyle name="40% - Accent4 19" xfId="360"/>
    <cellStyle name="40% - Accent4 2" xfId="61"/>
    <cellStyle name="40% - Accent4 2 2" xfId="275"/>
    <cellStyle name="40% - Accent4 20" xfId="374"/>
    <cellStyle name="40% - Accent4 3" xfId="75"/>
    <cellStyle name="40% - Accent4 3 2" xfId="289"/>
    <cellStyle name="40% - Accent4 4" xfId="89"/>
    <cellStyle name="40% - Accent4 4 2" xfId="303"/>
    <cellStyle name="40% - Accent4 5" xfId="103"/>
    <cellStyle name="40% - Accent4 5 2" xfId="317"/>
    <cellStyle name="40% - Accent4 6" xfId="117"/>
    <cellStyle name="40% - Accent4 7" xfId="131"/>
    <cellStyle name="40% - Accent4 8" xfId="145"/>
    <cellStyle name="40% - Accent4 9" xfId="159"/>
    <cellStyle name="40% - Accent5" xfId="43" builtinId="47" customBuiltin="1"/>
    <cellStyle name="40% - Accent5 10" xfId="175"/>
    <cellStyle name="40% - Accent5 11" xfId="189"/>
    <cellStyle name="40% - Accent5 12" xfId="203"/>
    <cellStyle name="40% - Accent5 13" xfId="217"/>
    <cellStyle name="40% - Accent5 14" xfId="231"/>
    <cellStyle name="40% - Accent5 15" xfId="245"/>
    <cellStyle name="40% - Accent5 16" xfId="261"/>
    <cellStyle name="40% - Accent5 17" xfId="332"/>
    <cellStyle name="40% - Accent5 18" xfId="348"/>
    <cellStyle name="40% - Accent5 19" xfId="362"/>
    <cellStyle name="40% - Accent5 2" xfId="63"/>
    <cellStyle name="40% - Accent5 2 2" xfId="277"/>
    <cellStyle name="40% - Accent5 20" xfId="376"/>
    <cellStyle name="40% - Accent5 3" xfId="77"/>
    <cellStyle name="40% - Accent5 3 2" xfId="291"/>
    <cellStyle name="40% - Accent5 4" xfId="91"/>
    <cellStyle name="40% - Accent5 4 2" xfId="305"/>
    <cellStyle name="40% - Accent5 5" xfId="105"/>
    <cellStyle name="40% - Accent5 5 2" xfId="319"/>
    <cellStyle name="40% - Accent5 6" xfId="119"/>
    <cellStyle name="40% - Accent5 7" xfId="133"/>
    <cellStyle name="40% - Accent5 8" xfId="147"/>
    <cellStyle name="40% - Accent5 9" xfId="161"/>
    <cellStyle name="40% - Accent6" xfId="47" builtinId="51" customBuiltin="1"/>
    <cellStyle name="40% - Accent6 10" xfId="177"/>
    <cellStyle name="40% - Accent6 11" xfId="191"/>
    <cellStyle name="40% - Accent6 12" xfId="205"/>
    <cellStyle name="40% - Accent6 13" xfId="219"/>
    <cellStyle name="40% - Accent6 14" xfId="233"/>
    <cellStyle name="40% - Accent6 15" xfId="247"/>
    <cellStyle name="40% - Accent6 16" xfId="263"/>
    <cellStyle name="40% - Accent6 17" xfId="333"/>
    <cellStyle name="40% - Accent6 18" xfId="350"/>
    <cellStyle name="40% - Accent6 19" xfId="364"/>
    <cellStyle name="40% - Accent6 2" xfId="65"/>
    <cellStyle name="40% - Accent6 2 2" xfId="279"/>
    <cellStyle name="40% - Accent6 20" xfId="378"/>
    <cellStyle name="40% - Accent6 3" xfId="79"/>
    <cellStyle name="40% - Accent6 3 2" xfId="293"/>
    <cellStyle name="40% - Accent6 4" xfId="93"/>
    <cellStyle name="40% - Accent6 4 2" xfId="307"/>
    <cellStyle name="40% - Accent6 5" xfId="107"/>
    <cellStyle name="40% - Accent6 5 2" xfId="321"/>
    <cellStyle name="40% - Accent6 6" xfId="121"/>
    <cellStyle name="40% - Accent6 7" xfId="135"/>
    <cellStyle name="40% - Accent6 8" xfId="149"/>
    <cellStyle name="40% - Accent6 9" xfId="163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Comma" xfId="1" builtinId="3"/>
    <cellStyle name="Comma 2" xfId="5"/>
    <cellStyle name="Comma 3" xfId="4"/>
    <cellStyle name="Comma 4" xfId="380"/>
    <cellStyle name="Currency" xfId="2" builtinId="4"/>
    <cellStyle name="Currency 2" xfId="7"/>
    <cellStyle name="Currency 3" xfId="6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10" xfId="136"/>
    <cellStyle name="Normal 11" xfId="150"/>
    <cellStyle name="Normal 12" xfId="164"/>
    <cellStyle name="Normal 13" xfId="178"/>
    <cellStyle name="Normal 14" xfId="192"/>
    <cellStyle name="Normal 15" xfId="206"/>
    <cellStyle name="Normal 16" xfId="220"/>
    <cellStyle name="Normal 17" xfId="234"/>
    <cellStyle name="Normal 18" xfId="337"/>
    <cellStyle name="Normal 19" xfId="351"/>
    <cellStyle name="Normal 2" xfId="3"/>
    <cellStyle name="Normal 2 2" xfId="250"/>
    <cellStyle name="Normal 2 3" xfId="334"/>
    <cellStyle name="Normal 20" xfId="365"/>
    <cellStyle name="Normal 21" xfId="379"/>
    <cellStyle name="Normal 3" xfId="49"/>
    <cellStyle name="Normal 3 2" xfId="251"/>
    <cellStyle name="Normal 3 3" xfId="335"/>
    <cellStyle name="Normal 4" xfId="52"/>
    <cellStyle name="Normal 4 2" xfId="249"/>
    <cellStyle name="Normal 5" xfId="66"/>
    <cellStyle name="Normal 5 2" xfId="264"/>
    <cellStyle name="Normal 6" xfId="80"/>
    <cellStyle name="Normal 6 2" xfId="266"/>
    <cellStyle name="Normal 7" xfId="94"/>
    <cellStyle name="Normal 7 2" xfId="280"/>
    <cellStyle name="Normal 8" xfId="108"/>
    <cellStyle name="Normal 8 2" xfId="294"/>
    <cellStyle name="Normal 9" xfId="122"/>
    <cellStyle name="Normal 9 2" xfId="308"/>
    <cellStyle name="Note 10" xfId="151"/>
    <cellStyle name="Note 11" xfId="165"/>
    <cellStyle name="Note 12" xfId="179"/>
    <cellStyle name="Note 13" xfId="193"/>
    <cellStyle name="Note 14" xfId="207"/>
    <cellStyle name="Note 15" xfId="221"/>
    <cellStyle name="Note 16" xfId="235"/>
    <cellStyle name="Note 17" xfId="338"/>
    <cellStyle name="Note 18" xfId="352"/>
    <cellStyle name="Note 19" xfId="366"/>
    <cellStyle name="Note 2" xfId="51"/>
    <cellStyle name="Note 2 2" xfId="265"/>
    <cellStyle name="Note 2 3" xfId="336"/>
    <cellStyle name="Note 3" xfId="53"/>
    <cellStyle name="Note 3 2" xfId="267"/>
    <cellStyle name="Note 4" xfId="67"/>
    <cellStyle name="Note 4 2" xfId="281"/>
    <cellStyle name="Note 5" xfId="81"/>
    <cellStyle name="Note 5 2" xfId="295"/>
    <cellStyle name="Note 6" xfId="95"/>
    <cellStyle name="Note 6 2" xfId="309"/>
    <cellStyle name="Note 7" xfId="109"/>
    <cellStyle name="Note 8" xfId="123"/>
    <cellStyle name="Note 9" xfId="137"/>
    <cellStyle name="Output" xfId="18" builtinId="21" customBuiltin="1"/>
    <cellStyle name="Percent" xfId="381" builtinId="5"/>
    <cellStyle name="Percent 2" xfId="9"/>
    <cellStyle name="Percent 3" xfId="8"/>
    <cellStyle name="Title" xfId="248" builtinId="15" customBuiltin="1"/>
    <cellStyle name="Title 2" xfId="50"/>
    <cellStyle name="Total" xfId="24" builtinId="25" customBuiltin="1"/>
    <cellStyle name="Warning Text" xfId="22" builtinId="11" customBuiltin="1"/>
  </cellStyles>
  <dxfs count="0"/>
  <tableStyles count="0" defaultTableStyle="TableStyleMedium9" defaultPivotStyle="PivotStyleMedium7"/>
  <colors>
    <mruColors>
      <color rgb="FFFFFF66"/>
      <color rgb="FFF2F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hyfromm\Desktop\Severance%20Shores-2019\C:\Users\cathyfromm\Desktop\SDS\tsclient\D\2018%20Budget%20Planning\pages-from-BGWSD18-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hyfromm\Desktop\Severance%20Shores-2019\C:\Users\cathyfromm\Desktop\SDS\C:\Users\Frontdesk2\AppData\Local\Microsoft\Windows\Temporary%20Internet%20Files\Content.Outlook\WR3U88WL\BGWSD18-Updt%20by%20JS-10-15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hyfromm\Desktop\Baca%20-%202019\Baca-Monthly%20FS-12.31.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hyfromm\Desktop\Severance%20Shores-2019\C:\Users\cathyfromm\Desktop\SDS\tsclient\C\BGWSD\Financials\Interim%20Financials\OPER%20STMT%2009300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Budget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-Mill Lev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Balanc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Balanc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3"/>
  <sheetViews>
    <sheetView workbookViewId="0">
      <selection activeCell="A5" sqref="A5:G14"/>
    </sheetView>
  </sheetViews>
  <sheetFormatPr defaultColWidth="8.85546875" defaultRowHeight="12.75"/>
  <cols>
    <col min="1" max="1" width="19" bestFit="1" customWidth="1"/>
    <col min="2" max="2" width="11.28515625" bestFit="1" customWidth="1"/>
    <col min="3" max="3" width="12.7109375" customWidth="1"/>
    <col min="4" max="4" width="11.28515625" customWidth="1"/>
    <col min="5" max="5" width="13.28515625" customWidth="1"/>
    <col min="6" max="6" width="10.28515625" bestFit="1" customWidth="1"/>
    <col min="7" max="7" width="12.140625" customWidth="1"/>
    <col min="8" max="8" width="2.7109375" customWidth="1"/>
    <col min="9" max="9" width="11.28515625" bestFit="1" customWidth="1"/>
    <col min="10" max="10" width="10.7109375" customWidth="1"/>
    <col min="11" max="11" width="10.28515625" customWidth="1"/>
    <col min="12" max="12" width="11.28515625" bestFit="1" customWidth="1"/>
    <col min="13" max="13" width="3.7109375" customWidth="1"/>
    <col min="14" max="14" width="13.28515625" customWidth="1"/>
    <col min="16" max="16" width="10.28515625" customWidth="1"/>
    <col min="18" max="18" width="14.85546875" bestFit="1" customWidth="1"/>
  </cols>
  <sheetData>
    <row r="2" spans="2:18">
      <c r="C2" t="s">
        <v>220</v>
      </c>
      <c r="E2" s="54">
        <v>0.98</v>
      </c>
      <c r="F2" s="54">
        <v>0.08</v>
      </c>
      <c r="N2" s="54">
        <v>0.98</v>
      </c>
      <c r="O2" s="54">
        <v>0.08</v>
      </c>
    </row>
    <row r="3" spans="2:18">
      <c r="C3" t="s">
        <v>69</v>
      </c>
      <c r="D3" t="s">
        <v>215</v>
      </c>
      <c r="E3" t="s">
        <v>271</v>
      </c>
      <c r="F3" t="s">
        <v>216</v>
      </c>
      <c r="G3" t="s">
        <v>217</v>
      </c>
      <c r="I3" s="55" t="s">
        <v>127</v>
      </c>
      <c r="J3" s="47" t="s">
        <v>222</v>
      </c>
      <c r="K3" s="55" t="s">
        <v>325</v>
      </c>
      <c r="L3" t="s">
        <v>218</v>
      </c>
      <c r="O3" t="s">
        <v>219</v>
      </c>
      <c r="P3" t="s">
        <v>271</v>
      </c>
      <c r="Q3" t="s">
        <v>216</v>
      </c>
      <c r="R3" t="s">
        <v>217</v>
      </c>
    </row>
    <row r="4" spans="2:18">
      <c r="B4">
        <v>2008</v>
      </c>
      <c r="C4" s="57">
        <v>13789169</v>
      </c>
      <c r="D4">
        <v>0</v>
      </c>
      <c r="I4" s="55"/>
      <c r="J4" s="55"/>
      <c r="K4" s="55"/>
      <c r="N4" s="10">
        <f t="shared" ref="N4:N24" si="0">C4</f>
        <v>13789169</v>
      </c>
      <c r="O4">
        <v>38.792000000000002</v>
      </c>
      <c r="P4" s="57">
        <f t="shared" ref="P4:P24" si="1">ROUND($E$2*N4*O4/1000,0)</f>
        <v>524211</v>
      </c>
      <c r="Q4" s="10">
        <f t="shared" ref="Q4:Q24" si="2">ROUND(P4*$F$2,0)</f>
        <v>41937</v>
      </c>
      <c r="R4" s="10">
        <f t="shared" ref="R4:R24" si="3">P4+Q4</f>
        <v>566148</v>
      </c>
    </row>
    <row r="5" spans="2:18">
      <c r="B5">
        <v>2009</v>
      </c>
      <c r="C5" s="57" t="e">
        <f>#REF!</f>
        <v>#REF!</v>
      </c>
      <c r="D5" s="58">
        <v>15</v>
      </c>
      <c r="E5" s="57" t="e">
        <f t="shared" ref="E5:E24" si="4">ROUND($E$2*C5*D5/1000,0)</f>
        <v>#REF!</v>
      </c>
      <c r="F5" s="10" t="e">
        <f t="shared" ref="F5:F24" si="5">ROUND(E5*$F$2,0)</f>
        <v>#REF!</v>
      </c>
      <c r="G5" s="10" t="e">
        <f t="shared" ref="G5:G24" si="6">E5+F5</f>
        <v>#REF!</v>
      </c>
      <c r="I5" s="57">
        <v>213720</v>
      </c>
      <c r="J5" s="57">
        <v>58300</v>
      </c>
      <c r="K5" s="57">
        <f t="shared" ref="K5:K24" si="7">I5+J5</f>
        <v>272020</v>
      </c>
      <c r="L5" s="10" t="e">
        <f>G5-K5</f>
        <v>#REF!</v>
      </c>
      <c r="N5" s="10" t="e">
        <f t="shared" si="0"/>
        <v>#REF!</v>
      </c>
      <c r="O5" s="58">
        <v>31</v>
      </c>
      <c r="P5" s="57" t="e">
        <f t="shared" si="1"/>
        <v>#REF!</v>
      </c>
      <c r="Q5" s="10" t="e">
        <f t="shared" si="2"/>
        <v>#REF!</v>
      </c>
      <c r="R5" s="10" t="e">
        <f t="shared" si="3"/>
        <v>#REF!</v>
      </c>
    </row>
    <row r="6" spans="2:18">
      <c r="B6">
        <v>2010</v>
      </c>
      <c r="C6" s="10">
        <v>14033369</v>
      </c>
      <c r="D6" s="58">
        <v>16</v>
      </c>
      <c r="E6" s="57">
        <f t="shared" si="4"/>
        <v>220043</v>
      </c>
      <c r="F6" s="10">
        <f t="shared" si="5"/>
        <v>17603</v>
      </c>
      <c r="G6" s="10">
        <f t="shared" si="6"/>
        <v>237646</v>
      </c>
      <c r="I6" s="57">
        <v>234200</v>
      </c>
      <c r="J6" s="57">
        <v>58300</v>
      </c>
      <c r="K6" s="57">
        <f t="shared" si="7"/>
        <v>292500</v>
      </c>
      <c r="L6" s="10">
        <f t="shared" ref="L6:L24" si="8">G6-I6</f>
        <v>3446</v>
      </c>
      <c r="N6" s="10">
        <f t="shared" si="0"/>
        <v>14033369</v>
      </c>
      <c r="O6" s="58">
        <v>30</v>
      </c>
      <c r="P6" s="57">
        <f t="shared" si="1"/>
        <v>412581</v>
      </c>
      <c r="Q6" s="10">
        <f t="shared" si="2"/>
        <v>33006</v>
      </c>
      <c r="R6" s="10">
        <f t="shared" si="3"/>
        <v>445587</v>
      </c>
    </row>
    <row r="7" spans="2:18">
      <c r="B7">
        <v>2011</v>
      </c>
      <c r="C7" s="10">
        <f>C6</f>
        <v>14033369</v>
      </c>
      <c r="D7" s="58">
        <v>18.399999999999999</v>
      </c>
      <c r="E7" s="57">
        <f t="shared" si="4"/>
        <v>253050</v>
      </c>
      <c r="F7" s="10">
        <f t="shared" si="5"/>
        <v>20244</v>
      </c>
      <c r="G7" s="10">
        <f t="shared" si="6"/>
        <v>273294</v>
      </c>
      <c r="I7" s="57">
        <v>273000</v>
      </c>
      <c r="J7" s="57">
        <v>58300</v>
      </c>
      <c r="K7" s="57">
        <f t="shared" si="7"/>
        <v>331300</v>
      </c>
      <c r="L7" s="10">
        <f t="shared" si="8"/>
        <v>294</v>
      </c>
      <c r="N7" s="10">
        <f t="shared" si="0"/>
        <v>14033369</v>
      </c>
      <c r="O7" s="58">
        <v>27.6</v>
      </c>
      <c r="P7" s="57">
        <f t="shared" si="1"/>
        <v>379575</v>
      </c>
      <c r="Q7" s="10">
        <f t="shared" si="2"/>
        <v>30366</v>
      </c>
      <c r="R7" s="10">
        <f t="shared" si="3"/>
        <v>409941</v>
      </c>
    </row>
    <row r="8" spans="2:18">
      <c r="B8">
        <v>2012</v>
      </c>
      <c r="C8" s="10">
        <v>14314036</v>
      </c>
      <c r="D8" s="58">
        <v>18.399999999999999</v>
      </c>
      <c r="E8" s="57">
        <f t="shared" si="4"/>
        <v>258111</v>
      </c>
      <c r="F8" s="10">
        <f t="shared" si="5"/>
        <v>20649</v>
      </c>
      <c r="G8" s="10">
        <f t="shared" si="6"/>
        <v>278760</v>
      </c>
      <c r="I8" s="57">
        <v>278600</v>
      </c>
      <c r="J8" s="57">
        <v>58300</v>
      </c>
      <c r="K8" s="57">
        <f t="shared" si="7"/>
        <v>336900</v>
      </c>
      <c r="L8" s="10">
        <f t="shared" si="8"/>
        <v>160</v>
      </c>
      <c r="N8" s="10">
        <f t="shared" si="0"/>
        <v>14314036</v>
      </c>
      <c r="O8" s="58">
        <v>27.6</v>
      </c>
      <c r="P8" s="57">
        <f t="shared" si="1"/>
        <v>387166</v>
      </c>
      <c r="Q8" s="10">
        <f t="shared" si="2"/>
        <v>30973</v>
      </c>
      <c r="R8" s="10">
        <f t="shared" si="3"/>
        <v>418139</v>
      </c>
    </row>
    <row r="9" spans="2:18">
      <c r="B9">
        <v>2013</v>
      </c>
      <c r="C9" s="10">
        <f>C8</f>
        <v>14314036</v>
      </c>
      <c r="D9" s="58">
        <v>18.399999999999999</v>
      </c>
      <c r="E9" s="57">
        <f t="shared" si="4"/>
        <v>258111</v>
      </c>
      <c r="F9" s="10">
        <f t="shared" si="5"/>
        <v>20649</v>
      </c>
      <c r="G9" s="10">
        <f t="shared" si="6"/>
        <v>278760</v>
      </c>
      <c r="I9" s="57">
        <v>273400</v>
      </c>
      <c r="J9" s="57">
        <v>58300</v>
      </c>
      <c r="K9" s="57">
        <f t="shared" si="7"/>
        <v>331700</v>
      </c>
      <c r="L9" s="10">
        <f t="shared" si="8"/>
        <v>5360</v>
      </c>
      <c r="N9" s="10">
        <f t="shared" si="0"/>
        <v>14314036</v>
      </c>
      <c r="O9" s="58">
        <v>27.6</v>
      </c>
      <c r="P9" s="57">
        <f t="shared" si="1"/>
        <v>387166</v>
      </c>
      <c r="Q9" s="10">
        <f t="shared" si="2"/>
        <v>30973</v>
      </c>
      <c r="R9" s="10">
        <f t="shared" si="3"/>
        <v>418139</v>
      </c>
    </row>
    <row r="10" spans="2:18">
      <c r="B10">
        <v>2014</v>
      </c>
      <c r="C10" s="10">
        <v>14600317</v>
      </c>
      <c r="D10" s="58">
        <v>18.399999999999999</v>
      </c>
      <c r="E10" s="57">
        <f t="shared" si="4"/>
        <v>263273</v>
      </c>
      <c r="F10" s="10">
        <f t="shared" si="5"/>
        <v>21062</v>
      </c>
      <c r="G10" s="10">
        <f t="shared" si="6"/>
        <v>284335</v>
      </c>
      <c r="I10" s="57">
        <v>283200</v>
      </c>
      <c r="J10" s="57">
        <v>58300</v>
      </c>
      <c r="K10" s="57">
        <f t="shared" si="7"/>
        <v>341500</v>
      </c>
      <c r="L10" s="10">
        <f t="shared" si="8"/>
        <v>1135</v>
      </c>
      <c r="N10" s="10">
        <f t="shared" si="0"/>
        <v>14600317</v>
      </c>
      <c r="O10" s="58">
        <v>27.6</v>
      </c>
      <c r="P10" s="57">
        <f t="shared" si="1"/>
        <v>394909</v>
      </c>
      <c r="Q10" s="10">
        <f t="shared" si="2"/>
        <v>31593</v>
      </c>
      <c r="R10" s="10">
        <f t="shared" si="3"/>
        <v>426502</v>
      </c>
    </row>
    <row r="11" spans="2:18">
      <c r="B11">
        <v>2015</v>
      </c>
      <c r="C11" s="10">
        <f>C10</f>
        <v>14600317</v>
      </c>
      <c r="D11" s="58">
        <v>18.399999999999999</v>
      </c>
      <c r="E11" s="57">
        <f t="shared" si="4"/>
        <v>263273</v>
      </c>
      <c r="F11" s="10">
        <f t="shared" si="5"/>
        <v>21062</v>
      </c>
      <c r="G11" s="10">
        <f t="shared" si="6"/>
        <v>284335</v>
      </c>
      <c r="I11" s="57">
        <v>281800</v>
      </c>
      <c r="J11" s="57">
        <v>58300</v>
      </c>
      <c r="K11" s="57">
        <f t="shared" si="7"/>
        <v>340100</v>
      </c>
      <c r="L11" s="10">
        <f t="shared" si="8"/>
        <v>2535</v>
      </c>
      <c r="N11" s="10">
        <f t="shared" si="0"/>
        <v>14600317</v>
      </c>
      <c r="O11" s="58">
        <v>27.6</v>
      </c>
      <c r="P11" s="57">
        <f t="shared" si="1"/>
        <v>394909</v>
      </c>
      <c r="Q11" s="10">
        <f t="shared" si="2"/>
        <v>31593</v>
      </c>
      <c r="R11" s="10">
        <f t="shared" si="3"/>
        <v>426502</v>
      </c>
    </row>
    <row r="12" spans="2:18">
      <c r="B12">
        <v>2016</v>
      </c>
      <c r="C12" s="10">
        <v>14892324</v>
      </c>
      <c r="D12" s="58">
        <v>18.399999999999999</v>
      </c>
      <c r="E12" s="57">
        <f t="shared" si="4"/>
        <v>268538</v>
      </c>
      <c r="F12" s="10">
        <f t="shared" si="5"/>
        <v>21483</v>
      </c>
      <c r="G12" s="10">
        <f t="shared" si="6"/>
        <v>290021</v>
      </c>
      <c r="I12" s="57">
        <v>290000</v>
      </c>
      <c r="J12" s="57">
        <v>58300</v>
      </c>
      <c r="K12" s="57">
        <f t="shared" si="7"/>
        <v>348300</v>
      </c>
      <c r="L12" s="10">
        <f t="shared" si="8"/>
        <v>21</v>
      </c>
      <c r="N12" s="10">
        <f t="shared" si="0"/>
        <v>14892324</v>
      </c>
      <c r="O12" s="58">
        <v>27.6</v>
      </c>
      <c r="P12" s="57">
        <f t="shared" si="1"/>
        <v>402808</v>
      </c>
      <c r="Q12" s="10">
        <f t="shared" si="2"/>
        <v>32225</v>
      </c>
      <c r="R12" s="10">
        <f t="shared" si="3"/>
        <v>435033</v>
      </c>
    </row>
    <row r="13" spans="2:18">
      <c r="B13">
        <v>2017</v>
      </c>
      <c r="C13" s="10">
        <f>C12</f>
        <v>14892324</v>
      </c>
      <c r="D13" s="58">
        <v>18.399999999999999</v>
      </c>
      <c r="E13" s="57">
        <f t="shared" si="4"/>
        <v>268538</v>
      </c>
      <c r="F13" s="10">
        <f t="shared" si="5"/>
        <v>21483</v>
      </c>
      <c r="G13" s="10">
        <f t="shared" si="6"/>
        <v>290021</v>
      </c>
      <c r="I13" s="57">
        <v>287000</v>
      </c>
      <c r="J13" s="57">
        <v>58300</v>
      </c>
      <c r="K13" s="57">
        <f t="shared" si="7"/>
        <v>345300</v>
      </c>
      <c r="L13" s="10">
        <f t="shared" si="8"/>
        <v>3021</v>
      </c>
      <c r="N13" s="10">
        <f t="shared" si="0"/>
        <v>14892324</v>
      </c>
      <c r="O13" s="58">
        <v>27.6</v>
      </c>
      <c r="P13" s="57">
        <f t="shared" si="1"/>
        <v>402808</v>
      </c>
      <c r="Q13" s="10">
        <f t="shared" si="2"/>
        <v>32225</v>
      </c>
      <c r="R13" s="10">
        <f t="shared" si="3"/>
        <v>435033</v>
      </c>
    </row>
    <row r="14" spans="2:18">
      <c r="B14">
        <v>2018</v>
      </c>
      <c r="C14" s="10">
        <v>15190170</v>
      </c>
      <c r="D14" s="58">
        <v>18.399999999999999</v>
      </c>
      <c r="E14" s="57">
        <f t="shared" si="4"/>
        <v>273909</v>
      </c>
      <c r="F14" s="10">
        <f t="shared" si="5"/>
        <v>21913</v>
      </c>
      <c r="G14" s="10">
        <f t="shared" si="6"/>
        <v>295822</v>
      </c>
      <c r="I14" s="57">
        <v>293600</v>
      </c>
      <c r="J14" s="57">
        <v>58300</v>
      </c>
      <c r="K14" s="57">
        <f t="shared" si="7"/>
        <v>351900</v>
      </c>
      <c r="L14" s="10">
        <f t="shared" si="8"/>
        <v>2222</v>
      </c>
      <c r="N14" s="10">
        <f t="shared" si="0"/>
        <v>15190170</v>
      </c>
      <c r="O14" s="58">
        <v>27.6</v>
      </c>
      <c r="P14" s="57">
        <f t="shared" si="1"/>
        <v>410864</v>
      </c>
      <c r="Q14" s="10">
        <f t="shared" si="2"/>
        <v>32869</v>
      </c>
      <c r="R14" s="10">
        <f t="shared" si="3"/>
        <v>443733</v>
      </c>
    </row>
    <row r="15" spans="2:18">
      <c r="B15">
        <v>2019</v>
      </c>
      <c r="C15" s="10">
        <f>C14</f>
        <v>15190170</v>
      </c>
      <c r="D15" s="58">
        <v>18.399999999999999</v>
      </c>
      <c r="E15" s="57">
        <f t="shared" si="4"/>
        <v>273909</v>
      </c>
      <c r="F15" s="10">
        <f t="shared" si="5"/>
        <v>21913</v>
      </c>
      <c r="G15" s="10">
        <f t="shared" si="6"/>
        <v>295822</v>
      </c>
      <c r="I15" s="57">
        <v>294000</v>
      </c>
      <c r="J15" s="57">
        <v>58300</v>
      </c>
      <c r="K15" s="57">
        <f t="shared" si="7"/>
        <v>352300</v>
      </c>
      <c r="L15" s="10">
        <f t="shared" si="8"/>
        <v>1822</v>
      </c>
      <c r="N15" s="10">
        <f t="shared" si="0"/>
        <v>15190170</v>
      </c>
      <c r="O15" s="58">
        <v>27.6</v>
      </c>
      <c r="P15" s="57">
        <f t="shared" si="1"/>
        <v>410864</v>
      </c>
      <c r="Q15" s="10">
        <f t="shared" si="2"/>
        <v>32869</v>
      </c>
      <c r="R15" s="10">
        <f t="shared" si="3"/>
        <v>443733</v>
      </c>
    </row>
    <row r="16" spans="2:18">
      <c r="B16">
        <v>2020</v>
      </c>
      <c r="C16" s="10">
        <v>15493973</v>
      </c>
      <c r="D16" s="58">
        <v>18.399999999999999</v>
      </c>
      <c r="E16" s="57">
        <f t="shared" si="4"/>
        <v>279387</v>
      </c>
      <c r="F16" s="10">
        <f t="shared" si="5"/>
        <v>22351</v>
      </c>
      <c r="G16" s="10">
        <f t="shared" si="6"/>
        <v>301738</v>
      </c>
      <c r="I16" s="57">
        <v>298600</v>
      </c>
      <c r="J16" s="57">
        <v>58300</v>
      </c>
      <c r="K16" s="57">
        <f t="shared" si="7"/>
        <v>356900</v>
      </c>
      <c r="L16" s="10">
        <f t="shared" si="8"/>
        <v>3138</v>
      </c>
      <c r="N16" s="10">
        <f t="shared" si="0"/>
        <v>15493973</v>
      </c>
      <c r="O16" s="58">
        <v>27.6</v>
      </c>
      <c r="P16" s="57">
        <f t="shared" si="1"/>
        <v>419081</v>
      </c>
      <c r="Q16" s="10">
        <f t="shared" si="2"/>
        <v>33526</v>
      </c>
      <c r="R16" s="10">
        <f t="shared" si="3"/>
        <v>452607</v>
      </c>
    </row>
    <row r="17" spans="2:18">
      <c r="B17">
        <v>2021</v>
      </c>
      <c r="C17" s="10">
        <f>C16</f>
        <v>15493973</v>
      </c>
      <c r="D17" s="58">
        <v>18.399999999999999</v>
      </c>
      <c r="E17" s="57">
        <f t="shared" si="4"/>
        <v>279387</v>
      </c>
      <c r="F17" s="10">
        <f t="shared" si="5"/>
        <v>22351</v>
      </c>
      <c r="G17" s="10">
        <f t="shared" si="6"/>
        <v>301738</v>
      </c>
      <c r="I17" s="57">
        <v>297000</v>
      </c>
      <c r="J17" s="57">
        <v>58300</v>
      </c>
      <c r="K17" s="57">
        <f t="shared" si="7"/>
        <v>355300</v>
      </c>
      <c r="L17" s="10">
        <f t="shared" si="8"/>
        <v>4738</v>
      </c>
      <c r="N17" s="10">
        <f t="shared" si="0"/>
        <v>15493973</v>
      </c>
      <c r="O17" s="58">
        <v>27.6</v>
      </c>
      <c r="P17" s="57">
        <f t="shared" si="1"/>
        <v>419081</v>
      </c>
      <c r="Q17" s="10">
        <f t="shared" si="2"/>
        <v>33526</v>
      </c>
      <c r="R17" s="10">
        <f t="shared" si="3"/>
        <v>452607</v>
      </c>
    </row>
    <row r="18" spans="2:18">
      <c r="B18">
        <v>2022</v>
      </c>
      <c r="C18" s="10">
        <v>15803853</v>
      </c>
      <c r="D18" s="58">
        <v>18.399999999999999</v>
      </c>
      <c r="E18" s="57">
        <f t="shared" si="4"/>
        <v>284975</v>
      </c>
      <c r="F18" s="10">
        <f t="shared" si="5"/>
        <v>22798</v>
      </c>
      <c r="G18" s="10">
        <f t="shared" si="6"/>
        <v>307773</v>
      </c>
      <c r="I18" s="57">
        <v>304600</v>
      </c>
      <c r="J18" s="57">
        <v>29150</v>
      </c>
      <c r="K18" s="57">
        <f t="shared" si="7"/>
        <v>333750</v>
      </c>
      <c r="L18" s="10">
        <f t="shared" si="8"/>
        <v>3173</v>
      </c>
      <c r="N18" s="10">
        <f t="shared" si="0"/>
        <v>15803853</v>
      </c>
      <c r="O18" s="58">
        <v>27.6</v>
      </c>
      <c r="P18" s="57">
        <f t="shared" si="1"/>
        <v>427463</v>
      </c>
      <c r="Q18" s="10">
        <f t="shared" si="2"/>
        <v>34197</v>
      </c>
      <c r="R18" s="10">
        <f t="shared" si="3"/>
        <v>461660</v>
      </c>
    </row>
    <row r="19" spans="2:18">
      <c r="B19">
        <v>2023</v>
      </c>
      <c r="C19" s="10">
        <f>C18</f>
        <v>15803853</v>
      </c>
      <c r="D19" s="58">
        <v>18.399999999999999</v>
      </c>
      <c r="E19" s="57">
        <f t="shared" si="4"/>
        <v>284975</v>
      </c>
      <c r="F19" s="10">
        <f t="shared" si="5"/>
        <v>22798</v>
      </c>
      <c r="G19" s="10">
        <f t="shared" si="6"/>
        <v>307773</v>
      </c>
      <c r="I19" s="57">
        <v>305600</v>
      </c>
      <c r="J19" s="57">
        <v>0</v>
      </c>
      <c r="K19" s="57">
        <f t="shared" si="7"/>
        <v>305600</v>
      </c>
      <c r="L19" s="10">
        <f t="shared" si="8"/>
        <v>2173</v>
      </c>
      <c r="N19" s="10">
        <f t="shared" si="0"/>
        <v>15803853</v>
      </c>
      <c r="O19" s="58">
        <v>27.6</v>
      </c>
      <c r="P19" s="57">
        <f t="shared" si="1"/>
        <v>427463</v>
      </c>
      <c r="Q19" s="10">
        <f t="shared" si="2"/>
        <v>34197</v>
      </c>
      <c r="R19" s="10">
        <f t="shared" si="3"/>
        <v>461660</v>
      </c>
    </row>
    <row r="20" spans="2:18">
      <c r="B20">
        <v>2024</v>
      </c>
      <c r="C20" s="10">
        <v>16119930</v>
      </c>
      <c r="D20" s="58">
        <v>18.399999999999999</v>
      </c>
      <c r="E20" s="57">
        <f t="shared" si="4"/>
        <v>290675</v>
      </c>
      <c r="F20" s="10">
        <f t="shared" si="5"/>
        <v>23254</v>
      </c>
      <c r="G20" s="10">
        <f t="shared" si="6"/>
        <v>313929</v>
      </c>
      <c r="I20" s="57">
        <v>310400</v>
      </c>
      <c r="J20" s="57">
        <v>0</v>
      </c>
      <c r="K20" s="57">
        <f t="shared" si="7"/>
        <v>310400</v>
      </c>
      <c r="L20" s="10">
        <f t="shared" si="8"/>
        <v>3529</v>
      </c>
      <c r="N20" s="10">
        <f t="shared" si="0"/>
        <v>16119930</v>
      </c>
      <c r="O20" s="58">
        <v>27.6</v>
      </c>
      <c r="P20" s="57">
        <f t="shared" si="1"/>
        <v>436012</v>
      </c>
      <c r="Q20" s="10">
        <f t="shared" si="2"/>
        <v>34881</v>
      </c>
      <c r="R20" s="10">
        <f t="shared" si="3"/>
        <v>470893</v>
      </c>
    </row>
    <row r="21" spans="2:18">
      <c r="B21">
        <v>2025</v>
      </c>
      <c r="C21" s="10">
        <f>C20</f>
        <v>16119930</v>
      </c>
      <c r="D21" s="58">
        <v>18.399999999999999</v>
      </c>
      <c r="E21" s="57">
        <f t="shared" si="4"/>
        <v>290675</v>
      </c>
      <c r="F21" s="10">
        <f t="shared" si="5"/>
        <v>23254</v>
      </c>
      <c r="G21" s="10">
        <f t="shared" si="6"/>
        <v>313929</v>
      </c>
      <c r="I21" s="57">
        <v>308600</v>
      </c>
      <c r="J21" s="57">
        <v>0</v>
      </c>
      <c r="K21" s="57">
        <f t="shared" si="7"/>
        <v>308600</v>
      </c>
      <c r="L21" s="10">
        <f t="shared" si="8"/>
        <v>5329</v>
      </c>
      <c r="N21" s="10">
        <f t="shared" si="0"/>
        <v>16119930</v>
      </c>
      <c r="O21" s="58">
        <v>27.6</v>
      </c>
      <c r="P21" s="57">
        <f t="shared" si="1"/>
        <v>436012</v>
      </c>
      <c r="Q21" s="10">
        <f t="shared" si="2"/>
        <v>34881</v>
      </c>
      <c r="R21" s="10">
        <f t="shared" si="3"/>
        <v>470893</v>
      </c>
    </row>
    <row r="22" spans="2:18">
      <c r="B22">
        <v>2026</v>
      </c>
      <c r="C22" s="10">
        <v>16442329</v>
      </c>
      <c r="D22" s="58">
        <v>18.399999999999999</v>
      </c>
      <c r="E22" s="57">
        <f t="shared" si="4"/>
        <v>296488</v>
      </c>
      <c r="F22" s="10">
        <f t="shared" si="5"/>
        <v>23719</v>
      </c>
      <c r="G22" s="10">
        <f t="shared" si="6"/>
        <v>320207</v>
      </c>
      <c r="I22" s="57">
        <v>315600</v>
      </c>
      <c r="J22" s="57">
        <v>0</v>
      </c>
      <c r="K22" s="57">
        <f t="shared" si="7"/>
        <v>315600</v>
      </c>
      <c r="L22" s="10">
        <f t="shared" si="8"/>
        <v>4607</v>
      </c>
      <c r="N22" s="10">
        <f t="shared" si="0"/>
        <v>16442329</v>
      </c>
      <c r="O22" s="58">
        <v>27.6</v>
      </c>
      <c r="P22" s="57">
        <f t="shared" si="1"/>
        <v>444732</v>
      </c>
      <c r="Q22" s="10">
        <f t="shared" si="2"/>
        <v>35579</v>
      </c>
      <c r="R22" s="10">
        <f t="shared" si="3"/>
        <v>480311</v>
      </c>
    </row>
    <row r="23" spans="2:18">
      <c r="B23">
        <v>2027</v>
      </c>
      <c r="C23" s="10">
        <f>C22</f>
        <v>16442329</v>
      </c>
      <c r="D23" s="58">
        <v>18.399999999999999</v>
      </c>
      <c r="E23" s="57">
        <f t="shared" si="4"/>
        <v>296488</v>
      </c>
      <c r="F23" s="10">
        <f t="shared" si="5"/>
        <v>23719</v>
      </c>
      <c r="G23" s="10">
        <f t="shared" si="6"/>
        <v>320207</v>
      </c>
      <c r="I23" s="57">
        <v>315600</v>
      </c>
      <c r="J23" s="57">
        <v>0</v>
      </c>
      <c r="K23" s="57">
        <f t="shared" si="7"/>
        <v>315600</v>
      </c>
      <c r="L23" s="10">
        <f t="shared" si="8"/>
        <v>4607</v>
      </c>
      <c r="N23" s="10">
        <f t="shared" si="0"/>
        <v>16442329</v>
      </c>
      <c r="O23" s="58">
        <v>27.6</v>
      </c>
      <c r="P23" s="57">
        <f t="shared" si="1"/>
        <v>444732</v>
      </c>
      <c r="Q23" s="10">
        <f t="shared" si="2"/>
        <v>35579</v>
      </c>
      <c r="R23" s="10">
        <f t="shared" si="3"/>
        <v>480311</v>
      </c>
    </row>
    <row r="24" spans="2:18">
      <c r="B24">
        <v>2028</v>
      </c>
      <c r="C24" s="10">
        <v>16771175</v>
      </c>
      <c r="D24" s="58">
        <v>18.399999999999999</v>
      </c>
      <c r="E24" s="57">
        <f t="shared" si="4"/>
        <v>302418</v>
      </c>
      <c r="F24" s="10">
        <f t="shared" si="5"/>
        <v>24193</v>
      </c>
      <c r="G24" s="10">
        <f t="shared" si="6"/>
        <v>326611</v>
      </c>
      <c r="I24" s="57">
        <v>324000</v>
      </c>
      <c r="J24" s="57">
        <v>0</v>
      </c>
      <c r="K24" s="57">
        <f t="shared" si="7"/>
        <v>324000</v>
      </c>
      <c r="L24" s="10">
        <f t="shared" si="8"/>
        <v>2611</v>
      </c>
      <c r="N24" s="10">
        <f t="shared" si="0"/>
        <v>16771175</v>
      </c>
      <c r="O24" s="58">
        <v>27.6</v>
      </c>
      <c r="P24" s="57">
        <f t="shared" si="1"/>
        <v>453627</v>
      </c>
      <c r="Q24" s="10">
        <f t="shared" si="2"/>
        <v>36290</v>
      </c>
      <c r="R24" s="10">
        <f t="shared" si="3"/>
        <v>489917</v>
      </c>
    </row>
    <row r="25" spans="2:18">
      <c r="C25" s="10"/>
    </row>
    <row r="26" spans="2:18">
      <c r="E26" s="10" t="e">
        <f>SUM(E5:E25)</f>
        <v>#REF!</v>
      </c>
      <c r="F26" s="10" t="e">
        <f>SUM(F5:F25)</f>
        <v>#REF!</v>
      </c>
      <c r="G26" s="10" t="e">
        <f>SUM(G5:G25)</f>
        <v>#REF!</v>
      </c>
      <c r="I26" s="10">
        <f>SUM(I5:I25)</f>
        <v>5782520</v>
      </c>
      <c r="J26" s="10">
        <f>SUM(J5:J25)</f>
        <v>787050</v>
      </c>
      <c r="K26" s="10">
        <f>SUM(K5:K25)</f>
        <v>6569570</v>
      </c>
      <c r="L26" s="10" t="e">
        <f>SUM(L5:L25)</f>
        <v>#REF!</v>
      </c>
      <c r="P26" s="10" t="e">
        <f>SUM(P4:P25)</f>
        <v>#REF!</v>
      </c>
      <c r="Q26" s="10" t="e">
        <f>SUM(Q4:Q25)</f>
        <v>#REF!</v>
      </c>
      <c r="R26" s="10" t="e">
        <f>SUM(R4:R25)</f>
        <v>#REF!</v>
      </c>
    </row>
    <row r="29" spans="2:18">
      <c r="C29" t="s">
        <v>221</v>
      </c>
      <c r="E29" s="54">
        <v>0.98</v>
      </c>
      <c r="F29" s="54">
        <v>0.08</v>
      </c>
      <c r="P29" s="54">
        <v>0.98</v>
      </c>
      <c r="Q29" s="54">
        <v>0.08</v>
      </c>
    </row>
    <row r="30" spans="2:18">
      <c r="C30" t="s">
        <v>69</v>
      </c>
      <c r="D30" t="s">
        <v>215</v>
      </c>
      <c r="E30" t="s">
        <v>271</v>
      </c>
      <c r="F30" t="s">
        <v>216</v>
      </c>
      <c r="G30" t="s">
        <v>217</v>
      </c>
      <c r="I30" s="55" t="s">
        <v>127</v>
      </c>
      <c r="J30" s="47" t="s">
        <v>222</v>
      </c>
      <c r="K30" s="55" t="s">
        <v>325</v>
      </c>
      <c r="L30" t="s">
        <v>218</v>
      </c>
      <c r="O30" t="s">
        <v>219</v>
      </c>
      <c r="P30" t="s">
        <v>271</v>
      </c>
      <c r="Q30" t="s">
        <v>216</v>
      </c>
      <c r="R30" t="s">
        <v>217</v>
      </c>
    </row>
    <row r="31" spans="2:18">
      <c r="B31">
        <v>2008</v>
      </c>
      <c r="C31" s="57">
        <v>13789169</v>
      </c>
      <c r="D31">
        <v>0</v>
      </c>
      <c r="I31" s="55"/>
      <c r="J31" s="55"/>
      <c r="K31" s="55"/>
      <c r="N31" s="10">
        <f t="shared" ref="N31:N51" si="9">C31</f>
        <v>13789169</v>
      </c>
      <c r="O31">
        <v>38.792000000000002</v>
      </c>
      <c r="P31" s="57">
        <f t="shared" ref="P31:P51" si="10">ROUND($E$2*N31*O31/1000,0)</f>
        <v>524211</v>
      </c>
      <c r="Q31" s="10">
        <f t="shared" ref="Q31:Q51" si="11">ROUND(P31*$F$2,0)</f>
        <v>41937</v>
      </c>
      <c r="R31" s="10">
        <f t="shared" ref="R31:R51" si="12">P31+Q31</f>
        <v>566148</v>
      </c>
    </row>
    <row r="32" spans="2:18">
      <c r="B32">
        <v>2009</v>
      </c>
      <c r="C32" s="57" t="e">
        <f>#REF!</f>
        <v>#REF!</v>
      </c>
      <c r="D32" s="58">
        <v>13</v>
      </c>
      <c r="E32" s="57" t="e">
        <f t="shared" ref="E32:E51" si="13">ROUND($E$2*C32*D32/1000,0)</f>
        <v>#REF!</v>
      </c>
      <c r="F32" s="10" t="e">
        <f t="shared" ref="F32:F51" si="14">ROUND(E32*$F$2,0)</f>
        <v>#REF!</v>
      </c>
      <c r="G32" s="10" t="e">
        <f t="shared" ref="G32:G51" si="15">E32+F32</f>
        <v>#REF!</v>
      </c>
      <c r="I32" s="57">
        <v>187785</v>
      </c>
      <c r="J32" s="57">
        <v>58300</v>
      </c>
      <c r="K32" s="57">
        <f t="shared" ref="K32:K51" si="16">I32+J32</f>
        <v>246085</v>
      </c>
      <c r="L32" s="10" t="e">
        <f t="shared" ref="L32:L51" si="17">G32-I32</f>
        <v>#REF!</v>
      </c>
      <c r="N32" s="10" t="e">
        <f t="shared" si="9"/>
        <v>#REF!</v>
      </c>
      <c r="O32" s="58">
        <v>33</v>
      </c>
      <c r="P32" s="57" t="e">
        <f t="shared" si="10"/>
        <v>#REF!</v>
      </c>
      <c r="Q32" s="10" t="e">
        <f t="shared" si="11"/>
        <v>#REF!</v>
      </c>
      <c r="R32" s="10" t="e">
        <f t="shared" si="12"/>
        <v>#REF!</v>
      </c>
    </row>
    <row r="33" spans="2:18">
      <c r="B33">
        <v>2010</v>
      </c>
      <c r="C33" s="10">
        <v>14064952</v>
      </c>
      <c r="D33" s="58">
        <v>16</v>
      </c>
      <c r="E33" s="57">
        <f t="shared" si="13"/>
        <v>220538</v>
      </c>
      <c r="F33" s="10">
        <f t="shared" si="14"/>
        <v>17643</v>
      </c>
      <c r="G33" s="10">
        <f t="shared" si="15"/>
        <v>238181</v>
      </c>
      <c r="I33" s="57">
        <v>237600</v>
      </c>
      <c r="J33" s="57">
        <v>58300</v>
      </c>
      <c r="K33" s="57">
        <f t="shared" si="16"/>
        <v>295900</v>
      </c>
      <c r="L33" s="10">
        <f t="shared" si="17"/>
        <v>581</v>
      </c>
      <c r="N33" s="10">
        <f t="shared" si="9"/>
        <v>14064952</v>
      </c>
      <c r="O33" s="58">
        <v>30</v>
      </c>
      <c r="P33" s="57">
        <f t="shared" si="10"/>
        <v>413510</v>
      </c>
      <c r="Q33" s="10">
        <f t="shared" si="11"/>
        <v>33081</v>
      </c>
      <c r="R33" s="10">
        <f t="shared" si="12"/>
        <v>446591</v>
      </c>
    </row>
    <row r="34" spans="2:18">
      <c r="B34">
        <v>2011</v>
      </c>
      <c r="C34" s="10">
        <f>C33</f>
        <v>14064952</v>
      </c>
      <c r="D34" s="58">
        <v>18.399999999999999</v>
      </c>
      <c r="E34" s="57">
        <f t="shared" si="13"/>
        <v>253619</v>
      </c>
      <c r="F34" s="10">
        <f t="shared" si="14"/>
        <v>20290</v>
      </c>
      <c r="G34" s="10">
        <f t="shared" si="15"/>
        <v>273909</v>
      </c>
      <c r="I34" s="57">
        <v>269900</v>
      </c>
      <c r="J34" s="57">
        <v>58300</v>
      </c>
      <c r="K34" s="57">
        <f t="shared" si="16"/>
        <v>328200</v>
      </c>
      <c r="L34" s="10">
        <f t="shared" si="17"/>
        <v>4009</v>
      </c>
      <c r="N34" s="10">
        <f t="shared" si="9"/>
        <v>14064952</v>
      </c>
      <c r="O34" s="58">
        <v>27.6</v>
      </c>
      <c r="P34" s="57">
        <f t="shared" si="10"/>
        <v>380429</v>
      </c>
      <c r="Q34" s="10">
        <f t="shared" si="11"/>
        <v>30434</v>
      </c>
      <c r="R34" s="10">
        <f t="shared" si="12"/>
        <v>410863</v>
      </c>
    </row>
    <row r="35" spans="2:18">
      <c r="B35">
        <v>2012</v>
      </c>
      <c r="C35" s="10">
        <v>14346251</v>
      </c>
      <c r="D35" s="58">
        <v>18.399999999999999</v>
      </c>
      <c r="E35" s="57">
        <f t="shared" si="13"/>
        <v>258692</v>
      </c>
      <c r="F35" s="10">
        <f t="shared" si="14"/>
        <v>20695</v>
      </c>
      <c r="G35" s="10">
        <f t="shared" si="15"/>
        <v>279387</v>
      </c>
      <c r="I35" s="57">
        <v>275100</v>
      </c>
      <c r="J35" s="57">
        <v>58300</v>
      </c>
      <c r="K35" s="57">
        <f t="shared" si="16"/>
        <v>333400</v>
      </c>
      <c r="L35" s="10">
        <f t="shared" si="17"/>
        <v>4287</v>
      </c>
      <c r="N35" s="10">
        <f t="shared" si="9"/>
        <v>14346251</v>
      </c>
      <c r="O35" s="58">
        <v>27.6</v>
      </c>
      <c r="P35" s="57">
        <f t="shared" si="10"/>
        <v>388037</v>
      </c>
      <c r="Q35" s="10">
        <f t="shared" si="11"/>
        <v>31043</v>
      </c>
      <c r="R35" s="10">
        <f t="shared" si="12"/>
        <v>419080</v>
      </c>
    </row>
    <row r="36" spans="2:18">
      <c r="B36">
        <v>2013</v>
      </c>
      <c r="C36" s="10">
        <f>C35</f>
        <v>14346251</v>
      </c>
      <c r="D36" s="58">
        <v>18.399999999999999</v>
      </c>
      <c r="E36" s="57">
        <f t="shared" si="13"/>
        <v>258692</v>
      </c>
      <c r="F36" s="10">
        <f t="shared" si="14"/>
        <v>20695</v>
      </c>
      <c r="G36" s="10">
        <f t="shared" si="15"/>
        <v>279387</v>
      </c>
      <c r="I36" s="57">
        <v>274700</v>
      </c>
      <c r="J36" s="57">
        <v>58300</v>
      </c>
      <c r="K36" s="57">
        <f t="shared" si="16"/>
        <v>333000</v>
      </c>
      <c r="L36" s="10">
        <f t="shared" si="17"/>
        <v>4687</v>
      </c>
      <c r="N36" s="10">
        <f t="shared" si="9"/>
        <v>14346251</v>
      </c>
      <c r="O36" s="58">
        <v>27.6</v>
      </c>
      <c r="P36" s="57">
        <f t="shared" si="10"/>
        <v>388037</v>
      </c>
      <c r="Q36" s="10">
        <f t="shared" si="11"/>
        <v>31043</v>
      </c>
      <c r="R36" s="10">
        <f t="shared" si="12"/>
        <v>419080</v>
      </c>
    </row>
    <row r="37" spans="2:18">
      <c r="B37">
        <v>2014</v>
      </c>
      <c r="C37" s="10">
        <v>14633176</v>
      </c>
      <c r="D37" s="58">
        <v>18.399999999999999</v>
      </c>
      <c r="E37" s="57">
        <f t="shared" si="13"/>
        <v>263865</v>
      </c>
      <c r="F37" s="10">
        <f t="shared" si="14"/>
        <v>21109</v>
      </c>
      <c r="G37" s="10">
        <f t="shared" si="15"/>
        <v>284974</v>
      </c>
      <c r="I37" s="57">
        <v>284000</v>
      </c>
      <c r="J37" s="57">
        <v>58300</v>
      </c>
      <c r="K37" s="57">
        <f t="shared" si="16"/>
        <v>342300</v>
      </c>
      <c r="L37" s="10">
        <f t="shared" si="17"/>
        <v>974</v>
      </c>
      <c r="N37" s="10">
        <f t="shared" si="9"/>
        <v>14633176</v>
      </c>
      <c r="O37" s="58">
        <v>27.6</v>
      </c>
      <c r="P37" s="57">
        <f t="shared" si="10"/>
        <v>395798</v>
      </c>
      <c r="Q37" s="10">
        <f t="shared" si="11"/>
        <v>31664</v>
      </c>
      <c r="R37" s="10">
        <f t="shared" si="12"/>
        <v>427462</v>
      </c>
    </row>
    <row r="38" spans="2:18">
      <c r="B38">
        <v>2015</v>
      </c>
      <c r="C38" s="10">
        <f>C37</f>
        <v>14633176</v>
      </c>
      <c r="D38" s="58">
        <v>18.399999999999999</v>
      </c>
      <c r="E38" s="57">
        <f t="shared" si="13"/>
        <v>263865</v>
      </c>
      <c r="F38" s="10">
        <f t="shared" si="14"/>
        <v>21109</v>
      </c>
      <c r="G38" s="10">
        <f t="shared" si="15"/>
        <v>284974</v>
      </c>
      <c r="I38" s="57">
        <v>282400</v>
      </c>
      <c r="J38" s="57">
        <v>58300</v>
      </c>
      <c r="K38" s="57">
        <f t="shared" si="16"/>
        <v>340700</v>
      </c>
      <c r="L38" s="10">
        <f t="shared" si="17"/>
        <v>2574</v>
      </c>
      <c r="N38" s="10">
        <f t="shared" si="9"/>
        <v>14633176</v>
      </c>
      <c r="O38" s="58">
        <v>27.6</v>
      </c>
      <c r="P38" s="57">
        <f t="shared" si="10"/>
        <v>395798</v>
      </c>
      <c r="Q38" s="10">
        <f t="shared" si="11"/>
        <v>31664</v>
      </c>
      <c r="R38" s="10">
        <f t="shared" si="12"/>
        <v>427462</v>
      </c>
    </row>
    <row r="39" spans="2:18">
      <c r="B39">
        <v>2016</v>
      </c>
      <c r="C39" s="10">
        <v>14925840</v>
      </c>
      <c r="D39" s="58">
        <v>18.399999999999999</v>
      </c>
      <c r="E39" s="57">
        <f t="shared" si="13"/>
        <v>269143</v>
      </c>
      <c r="F39" s="10">
        <f t="shared" si="14"/>
        <v>21531</v>
      </c>
      <c r="G39" s="10">
        <f t="shared" si="15"/>
        <v>290674</v>
      </c>
      <c r="I39" s="57">
        <v>285500</v>
      </c>
      <c r="J39" s="57">
        <v>58300</v>
      </c>
      <c r="K39" s="57">
        <f t="shared" si="16"/>
        <v>343800</v>
      </c>
      <c r="L39" s="10">
        <f t="shared" si="17"/>
        <v>5174</v>
      </c>
      <c r="N39" s="10">
        <f t="shared" si="9"/>
        <v>14925840</v>
      </c>
      <c r="O39" s="58">
        <v>27.6</v>
      </c>
      <c r="P39" s="57">
        <f t="shared" si="10"/>
        <v>403714</v>
      </c>
      <c r="Q39" s="10">
        <f t="shared" si="11"/>
        <v>32297</v>
      </c>
      <c r="R39" s="10">
        <f t="shared" si="12"/>
        <v>436011</v>
      </c>
    </row>
    <row r="40" spans="2:18">
      <c r="B40">
        <v>2017</v>
      </c>
      <c r="C40" s="10">
        <f>C39</f>
        <v>14925840</v>
      </c>
      <c r="D40" s="58">
        <v>18.399999999999999</v>
      </c>
      <c r="E40" s="57">
        <f t="shared" si="13"/>
        <v>269143</v>
      </c>
      <c r="F40" s="10">
        <f t="shared" si="14"/>
        <v>21531</v>
      </c>
      <c r="G40" s="10">
        <f t="shared" si="15"/>
        <v>290674</v>
      </c>
      <c r="I40" s="57">
        <v>288000</v>
      </c>
      <c r="J40" s="57">
        <v>58300</v>
      </c>
      <c r="K40" s="57">
        <f t="shared" si="16"/>
        <v>346300</v>
      </c>
      <c r="L40" s="10">
        <f t="shared" si="17"/>
        <v>2674</v>
      </c>
      <c r="N40" s="10">
        <f t="shared" si="9"/>
        <v>14925840</v>
      </c>
      <c r="O40" s="58">
        <v>27.6</v>
      </c>
      <c r="P40" s="57">
        <f t="shared" si="10"/>
        <v>403714</v>
      </c>
      <c r="Q40" s="10">
        <f t="shared" si="11"/>
        <v>32297</v>
      </c>
      <c r="R40" s="10">
        <f t="shared" si="12"/>
        <v>436011</v>
      </c>
    </row>
    <row r="41" spans="2:18">
      <c r="B41">
        <v>2018</v>
      </c>
      <c r="C41" s="10">
        <v>15224357</v>
      </c>
      <c r="D41" s="58">
        <v>18.399999999999999</v>
      </c>
      <c r="E41" s="57">
        <f t="shared" si="13"/>
        <v>274526</v>
      </c>
      <c r="F41" s="10">
        <f t="shared" si="14"/>
        <v>21962</v>
      </c>
      <c r="G41" s="10">
        <f t="shared" si="15"/>
        <v>296488</v>
      </c>
      <c r="I41" s="57">
        <v>294900</v>
      </c>
      <c r="J41" s="57">
        <v>58300</v>
      </c>
      <c r="K41" s="57">
        <f t="shared" si="16"/>
        <v>353200</v>
      </c>
      <c r="L41" s="10">
        <f t="shared" si="17"/>
        <v>1588</v>
      </c>
      <c r="N41" s="10">
        <f t="shared" si="9"/>
        <v>15224357</v>
      </c>
      <c r="O41" s="58">
        <v>27.6</v>
      </c>
      <c r="P41" s="57">
        <f t="shared" si="10"/>
        <v>411788</v>
      </c>
      <c r="Q41" s="10">
        <f t="shared" si="11"/>
        <v>32943</v>
      </c>
      <c r="R41" s="10">
        <f t="shared" si="12"/>
        <v>444731</v>
      </c>
    </row>
    <row r="42" spans="2:18">
      <c r="B42">
        <v>2019</v>
      </c>
      <c r="C42" s="10">
        <f>C41</f>
        <v>15224357</v>
      </c>
      <c r="D42" s="58">
        <v>18.399999999999999</v>
      </c>
      <c r="E42" s="57">
        <f t="shared" si="13"/>
        <v>274526</v>
      </c>
      <c r="F42" s="10">
        <f t="shared" si="14"/>
        <v>21962</v>
      </c>
      <c r="G42" s="10">
        <f t="shared" si="15"/>
        <v>296488</v>
      </c>
      <c r="I42" s="57">
        <v>295900</v>
      </c>
      <c r="J42" s="57">
        <v>58300</v>
      </c>
      <c r="K42" s="57">
        <f t="shared" si="16"/>
        <v>354200</v>
      </c>
      <c r="L42" s="10">
        <f t="shared" si="17"/>
        <v>588</v>
      </c>
      <c r="N42" s="10">
        <f t="shared" si="9"/>
        <v>15224357</v>
      </c>
      <c r="O42" s="58">
        <v>27.6</v>
      </c>
      <c r="P42" s="57">
        <f t="shared" si="10"/>
        <v>411788</v>
      </c>
      <c r="Q42" s="10">
        <f t="shared" si="11"/>
        <v>32943</v>
      </c>
      <c r="R42" s="10">
        <f t="shared" si="12"/>
        <v>444731</v>
      </c>
    </row>
    <row r="43" spans="2:18">
      <c r="B43">
        <v>2020</v>
      </c>
      <c r="C43" s="10">
        <v>15528844</v>
      </c>
      <c r="D43" s="58">
        <v>18.399999999999999</v>
      </c>
      <c r="E43" s="57">
        <f t="shared" si="13"/>
        <v>280016</v>
      </c>
      <c r="F43" s="10">
        <f t="shared" si="14"/>
        <v>22401</v>
      </c>
      <c r="G43" s="10">
        <f t="shared" si="15"/>
        <v>302417</v>
      </c>
      <c r="I43" s="57">
        <v>301300</v>
      </c>
      <c r="J43" s="57">
        <v>58300</v>
      </c>
      <c r="K43" s="57">
        <f t="shared" si="16"/>
        <v>359600</v>
      </c>
      <c r="L43" s="10">
        <f t="shared" si="17"/>
        <v>1117</v>
      </c>
      <c r="N43" s="10">
        <f t="shared" si="9"/>
        <v>15528844</v>
      </c>
      <c r="O43" s="58">
        <v>27.6</v>
      </c>
      <c r="P43" s="57">
        <f t="shared" si="10"/>
        <v>420024</v>
      </c>
      <c r="Q43" s="10">
        <f t="shared" si="11"/>
        <v>33602</v>
      </c>
      <c r="R43" s="10">
        <f t="shared" si="12"/>
        <v>453626</v>
      </c>
    </row>
    <row r="44" spans="2:18">
      <c r="B44">
        <v>2021</v>
      </c>
      <c r="C44" s="10">
        <f>C43</f>
        <v>15528844</v>
      </c>
      <c r="D44" s="58">
        <v>18.399999999999999</v>
      </c>
      <c r="E44" s="57">
        <f t="shared" si="13"/>
        <v>280016</v>
      </c>
      <c r="F44" s="10">
        <f t="shared" si="14"/>
        <v>22401</v>
      </c>
      <c r="G44" s="10">
        <f t="shared" si="15"/>
        <v>302417</v>
      </c>
      <c r="I44" s="57">
        <v>300800</v>
      </c>
      <c r="J44" s="57">
        <v>58300</v>
      </c>
      <c r="K44" s="57">
        <f t="shared" si="16"/>
        <v>359100</v>
      </c>
      <c r="L44" s="10">
        <f t="shared" si="17"/>
        <v>1617</v>
      </c>
      <c r="N44" s="10">
        <f t="shared" si="9"/>
        <v>15528844</v>
      </c>
      <c r="O44" s="58">
        <v>27.6</v>
      </c>
      <c r="P44" s="57">
        <f t="shared" si="10"/>
        <v>420024</v>
      </c>
      <c r="Q44" s="10">
        <f t="shared" si="11"/>
        <v>33602</v>
      </c>
      <c r="R44" s="10">
        <f t="shared" si="12"/>
        <v>453626</v>
      </c>
    </row>
    <row r="45" spans="2:18">
      <c r="B45">
        <v>2022</v>
      </c>
      <c r="C45" s="10">
        <v>15839421</v>
      </c>
      <c r="D45" s="58">
        <v>18.399999999999999</v>
      </c>
      <c r="E45" s="57">
        <f t="shared" si="13"/>
        <v>285616</v>
      </c>
      <c r="F45" s="10">
        <f t="shared" si="14"/>
        <v>22849</v>
      </c>
      <c r="G45" s="10">
        <f t="shared" si="15"/>
        <v>308465</v>
      </c>
      <c r="I45" s="57">
        <v>304700</v>
      </c>
      <c r="J45" s="57">
        <v>29150</v>
      </c>
      <c r="K45" s="57">
        <f t="shared" si="16"/>
        <v>333850</v>
      </c>
      <c r="L45" s="10">
        <f t="shared" si="17"/>
        <v>3765</v>
      </c>
      <c r="N45" s="10">
        <f t="shared" si="9"/>
        <v>15839421</v>
      </c>
      <c r="O45" s="58">
        <v>27.6</v>
      </c>
      <c r="P45" s="57">
        <f t="shared" si="10"/>
        <v>428425</v>
      </c>
      <c r="Q45" s="10">
        <f t="shared" si="11"/>
        <v>34274</v>
      </c>
      <c r="R45" s="10">
        <f t="shared" si="12"/>
        <v>462699</v>
      </c>
    </row>
    <row r="46" spans="2:18">
      <c r="B46">
        <v>2023</v>
      </c>
      <c r="C46" s="10">
        <f>C45</f>
        <v>15839421</v>
      </c>
      <c r="D46" s="58">
        <v>18.399999999999999</v>
      </c>
      <c r="E46" s="57">
        <f t="shared" si="13"/>
        <v>285616</v>
      </c>
      <c r="F46" s="10">
        <f t="shared" si="14"/>
        <v>22849</v>
      </c>
      <c r="G46" s="10">
        <f t="shared" si="15"/>
        <v>308465</v>
      </c>
      <c r="I46" s="57">
        <v>307700</v>
      </c>
      <c r="J46" s="57">
        <v>0</v>
      </c>
      <c r="K46" s="57">
        <f t="shared" si="16"/>
        <v>307700</v>
      </c>
      <c r="L46" s="10">
        <f t="shared" si="17"/>
        <v>765</v>
      </c>
      <c r="N46" s="10">
        <f t="shared" si="9"/>
        <v>15839421</v>
      </c>
      <c r="O46" s="58">
        <v>27.6</v>
      </c>
      <c r="P46" s="57">
        <f t="shared" si="10"/>
        <v>428425</v>
      </c>
      <c r="Q46" s="10">
        <f t="shared" si="11"/>
        <v>34274</v>
      </c>
      <c r="R46" s="10">
        <f t="shared" si="12"/>
        <v>462699</v>
      </c>
    </row>
    <row r="47" spans="2:18">
      <c r="B47">
        <v>2024</v>
      </c>
      <c r="C47" s="10">
        <v>16156209</v>
      </c>
      <c r="D47" s="58">
        <v>18.399999999999999</v>
      </c>
      <c r="E47" s="57">
        <f t="shared" si="13"/>
        <v>291329</v>
      </c>
      <c r="F47" s="10">
        <f t="shared" si="14"/>
        <v>23306</v>
      </c>
      <c r="G47" s="10">
        <f t="shared" si="15"/>
        <v>314635</v>
      </c>
      <c r="I47" s="57">
        <v>309800</v>
      </c>
      <c r="J47" s="57">
        <v>0</v>
      </c>
      <c r="K47" s="57">
        <f t="shared" si="16"/>
        <v>309800</v>
      </c>
      <c r="L47" s="10">
        <f t="shared" si="17"/>
        <v>4835</v>
      </c>
      <c r="N47" s="10">
        <f t="shared" si="9"/>
        <v>16156209</v>
      </c>
      <c r="O47" s="58">
        <v>27.6</v>
      </c>
      <c r="P47" s="57">
        <f t="shared" si="10"/>
        <v>436993</v>
      </c>
      <c r="Q47" s="10">
        <f t="shared" si="11"/>
        <v>34959</v>
      </c>
      <c r="R47" s="10">
        <f t="shared" si="12"/>
        <v>471952</v>
      </c>
    </row>
    <row r="48" spans="2:18">
      <c r="B48">
        <v>2025</v>
      </c>
      <c r="C48" s="10">
        <f>C47</f>
        <v>16156209</v>
      </c>
      <c r="D48" s="58">
        <v>18.399999999999999</v>
      </c>
      <c r="E48" s="57">
        <f t="shared" si="13"/>
        <v>291329</v>
      </c>
      <c r="F48" s="10">
        <f t="shared" si="14"/>
        <v>23306</v>
      </c>
      <c r="G48" s="10">
        <f t="shared" si="15"/>
        <v>314635</v>
      </c>
      <c r="I48" s="57">
        <v>311000</v>
      </c>
      <c r="J48" s="57">
        <v>0</v>
      </c>
      <c r="K48" s="57">
        <f t="shared" si="16"/>
        <v>311000</v>
      </c>
      <c r="L48" s="10">
        <f t="shared" si="17"/>
        <v>3635</v>
      </c>
      <c r="N48" s="10">
        <f t="shared" si="9"/>
        <v>16156209</v>
      </c>
      <c r="O48" s="58">
        <v>27.6</v>
      </c>
      <c r="P48" s="57">
        <f t="shared" si="10"/>
        <v>436993</v>
      </c>
      <c r="Q48" s="10">
        <f t="shared" si="11"/>
        <v>34959</v>
      </c>
      <c r="R48" s="10">
        <f t="shared" si="12"/>
        <v>471952</v>
      </c>
    </row>
    <row r="49" spans="2:18">
      <c r="B49">
        <v>2026</v>
      </c>
      <c r="C49" s="10">
        <v>16479333</v>
      </c>
      <c r="D49" s="58">
        <v>18.399999999999999</v>
      </c>
      <c r="E49" s="57">
        <f t="shared" si="13"/>
        <v>297155</v>
      </c>
      <c r="F49" s="10">
        <f t="shared" si="14"/>
        <v>23772</v>
      </c>
      <c r="G49" s="10">
        <f t="shared" si="15"/>
        <v>320927</v>
      </c>
      <c r="I49" s="57">
        <v>316300</v>
      </c>
      <c r="J49" s="57">
        <v>0</v>
      </c>
      <c r="K49" s="57">
        <f t="shared" si="16"/>
        <v>316300</v>
      </c>
      <c r="L49" s="10">
        <f t="shared" si="17"/>
        <v>4627</v>
      </c>
      <c r="N49" s="10">
        <f t="shared" si="9"/>
        <v>16479333</v>
      </c>
      <c r="O49" s="58">
        <v>27.6</v>
      </c>
      <c r="P49" s="57">
        <f t="shared" si="10"/>
        <v>445733</v>
      </c>
      <c r="Q49" s="10">
        <f t="shared" si="11"/>
        <v>35659</v>
      </c>
      <c r="R49" s="10">
        <f t="shared" si="12"/>
        <v>481392</v>
      </c>
    </row>
    <row r="50" spans="2:18">
      <c r="B50">
        <v>2027</v>
      </c>
      <c r="C50" s="10">
        <f>C49</f>
        <v>16479333</v>
      </c>
      <c r="D50" s="58">
        <v>18.399999999999999</v>
      </c>
      <c r="E50" s="57">
        <f t="shared" si="13"/>
        <v>297155</v>
      </c>
      <c r="F50" s="10">
        <f t="shared" si="14"/>
        <v>23772</v>
      </c>
      <c r="G50" s="10">
        <f t="shared" si="15"/>
        <v>320927</v>
      </c>
      <c r="I50" s="57">
        <v>320400</v>
      </c>
      <c r="J50" s="57">
        <v>0</v>
      </c>
      <c r="K50" s="57">
        <f t="shared" si="16"/>
        <v>320400</v>
      </c>
      <c r="L50" s="10">
        <f t="shared" si="17"/>
        <v>527</v>
      </c>
      <c r="N50" s="10">
        <f t="shared" si="9"/>
        <v>16479333</v>
      </c>
      <c r="O50" s="58">
        <v>27.6</v>
      </c>
      <c r="P50" s="57">
        <f t="shared" si="10"/>
        <v>445733</v>
      </c>
      <c r="Q50" s="10">
        <f t="shared" si="11"/>
        <v>35659</v>
      </c>
      <c r="R50" s="10">
        <f t="shared" si="12"/>
        <v>481392</v>
      </c>
    </row>
    <row r="51" spans="2:18">
      <c r="B51">
        <v>2028</v>
      </c>
      <c r="C51" s="10">
        <v>16808920</v>
      </c>
      <c r="D51" s="58">
        <v>18.399999999999999</v>
      </c>
      <c r="E51" s="57">
        <f t="shared" si="13"/>
        <v>303098</v>
      </c>
      <c r="F51" s="10">
        <f t="shared" si="14"/>
        <v>24248</v>
      </c>
      <c r="G51" s="10">
        <f t="shared" si="15"/>
        <v>327346</v>
      </c>
      <c r="I51" s="57">
        <v>323300</v>
      </c>
      <c r="J51" s="57">
        <v>0</v>
      </c>
      <c r="K51" s="57">
        <f t="shared" si="16"/>
        <v>323300</v>
      </c>
      <c r="L51" s="10">
        <f t="shared" si="17"/>
        <v>4046</v>
      </c>
      <c r="N51" s="10">
        <f t="shared" si="9"/>
        <v>16808920</v>
      </c>
      <c r="O51" s="58">
        <v>27.6</v>
      </c>
      <c r="P51" s="57">
        <f t="shared" si="10"/>
        <v>454648</v>
      </c>
      <c r="Q51" s="10">
        <f t="shared" si="11"/>
        <v>36372</v>
      </c>
      <c r="R51" s="10">
        <f t="shared" si="12"/>
        <v>491020</v>
      </c>
    </row>
    <row r="52" spans="2:18">
      <c r="C52" s="10"/>
    </row>
    <row r="53" spans="2:18">
      <c r="E53" s="10" t="e">
        <f>SUM(E32:E52)</f>
        <v>#REF!</v>
      </c>
      <c r="F53" s="10" t="e">
        <f>SUM(F32:F52)</f>
        <v>#REF!</v>
      </c>
      <c r="G53" s="10" t="e">
        <f>SUM(G32:G52)</f>
        <v>#REF!</v>
      </c>
      <c r="I53" s="10">
        <f>SUM(I32:I52)</f>
        <v>5771085</v>
      </c>
      <c r="J53" s="10">
        <f>SUM(J32:J52)</f>
        <v>787050</v>
      </c>
      <c r="K53" s="10">
        <f>SUM(K32:K52)</f>
        <v>6558135</v>
      </c>
      <c r="L53" s="10" t="e">
        <f>SUM(L32:L52)</f>
        <v>#REF!</v>
      </c>
      <c r="P53" s="10" t="e">
        <f>SUM(P31:P52)</f>
        <v>#REF!</v>
      </c>
      <c r="Q53" s="10" t="e">
        <f>SUM(Q31:Q52)</f>
        <v>#REF!</v>
      </c>
      <c r="R53" s="10" t="e">
        <f>SUM(R31:R52)</f>
        <v>#REF!</v>
      </c>
    </row>
  </sheetData>
  <phoneticPr fontId="2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4"/>
  <sheetViews>
    <sheetView tabSelected="1" workbookViewId="0">
      <selection activeCell="M12" sqref="M12"/>
    </sheetView>
  </sheetViews>
  <sheetFormatPr defaultRowHeight="12.75"/>
  <cols>
    <col min="1" max="1" width="3" customWidth="1"/>
    <col min="2" max="2" width="41.28515625" customWidth="1"/>
    <col min="3" max="4" width="14" hidden="1" customWidth="1"/>
    <col min="5" max="5" width="13.85546875" hidden="1" customWidth="1"/>
    <col min="6" max="6" width="14" hidden="1" customWidth="1"/>
    <col min="7" max="7" width="14" customWidth="1"/>
    <col min="8" max="8" width="14.7109375" customWidth="1"/>
    <col min="9" max="9" width="13.7109375" customWidth="1"/>
    <col min="10" max="10" width="17.28515625" customWidth="1"/>
    <col min="15" max="15" width="14" bestFit="1" customWidth="1"/>
    <col min="17" max="17" width="12.140625" customWidth="1"/>
  </cols>
  <sheetData>
    <row r="3" spans="2:17" ht="20.25">
      <c r="B3" s="291" t="s">
        <v>345</v>
      </c>
      <c r="C3" s="292"/>
      <c r="D3" s="292"/>
      <c r="E3" s="292"/>
      <c r="F3" s="293"/>
      <c r="G3" s="294"/>
      <c r="H3" s="294"/>
      <c r="I3" s="281"/>
      <c r="J3" s="281"/>
    </row>
    <row r="4" spans="2:17" ht="20.25">
      <c r="B4" s="295" t="s">
        <v>437</v>
      </c>
      <c r="C4" s="296"/>
      <c r="D4" s="296"/>
      <c r="E4" s="296"/>
      <c r="F4" s="294"/>
      <c r="G4" s="281"/>
      <c r="H4" s="281"/>
      <c r="I4" s="281"/>
      <c r="J4" s="281"/>
    </row>
    <row r="5" spans="2:17" ht="18">
      <c r="B5" s="297" t="s">
        <v>393</v>
      </c>
      <c r="C5" s="298"/>
      <c r="D5" s="298"/>
      <c r="E5" s="298"/>
      <c r="F5" s="286"/>
      <c r="G5" s="281"/>
      <c r="H5" s="281"/>
      <c r="I5" s="281"/>
      <c r="J5" s="281"/>
    </row>
    <row r="6" spans="2:17" ht="26.25" customHeight="1" thickBot="1">
      <c r="B6" s="141"/>
      <c r="C6" s="142"/>
      <c r="D6" s="142"/>
      <c r="E6" s="142"/>
      <c r="F6" s="123"/>
    </row>
    <row r="7" spans="2:17" ht="15.75" thickTop="1">
      <c r="B7" s="128"/>
      <c r="C7" s="129">
        <v>2019</v>
      </c>
      <c r="D7" s="129">
        <v>2020</v>
      </c>
      <c r="E7" s="129">
        <v>2021</v>
      </c>
      <c r="F7" s="129">
        <v>2022</v>
      </c>
      <c r="G7" s="129">
        <v>2024</v>
      </c>
      <c r="H7" s="129">
        <v>2025</v>
      </c>
      <c r="I7" s="163">
        <v>2025</v>
      </c>
      <c r="J7" s="129" t="s">
        <v>430</v>
      </c>
    </row>
    <row r="8" spans="2:17" ht="30.75" thickBot="1">
      <c r="B8" s="128"/>
      <c r="C8" s="130" t="s">
        <v>394</v>
      </c>
      <c r="D8" s="130" t="s">
        <v>394</v>
      </c>
      <c r="E8" s="130" t="s">
        <v>395</v>
      </c>
      <c r="F8" s="130" t="s">
        <v>403</v>
      </c>
      <c r="G8" s="130" t="s">
        <v>403</v>
      </c>
      <c r="H8" s="223" t="s">
        <v>410</v>
      </c>
      <c r="I8" s="176" t="s">
        <v>412</v>
      </c>
      <c r="J8" s="197"/>
    </row>
    <row r="9" spans="2:17" ht="15.75" thickTop="1">
      <c r="B9" s="128"/>
      <c r="C9" s="128"/>
      <c r="D9" s="128"/>
      <c r="E9" s="128"/>
      <c r="F9" s="128"/>
      <c r="G9" s="128"/>
      <c r="H9" s="131"/>
      <c r="I9" s="165"/>
    </row>
    <row r="10" spans="2:17" ht="15">
      <c r="B10" s="131" t="s">
        <v>396</v>
      </c>
      <c r="C10" s="133">
        <v>10349652</v>
      </c>
      <c r="D10" s="133">
        <v>11220407</v>
      </c>
      <c r="E10" s="133">
        <v>11174827</v>
      </c>
      <c r="F10" s="133">
        <v>14667703</v>
      </c>
      <c r="G10" s="166">
        <v>20868671</v>
      </c>
      <c r="H10" s="178">
        <v>20881807</v>
      </c>
      <c r="I10" s="166">
        <v>20920044</v>
      </c>
      <c r="J10" s="178">
        <v>23757815</v>
      </c>
      <c r="K10" s="125"/>
      <c r="L10" s="84"/>
      <c r="Q10" s="148"/>
    </row>
    <row r="11" spans="2:17" ht="15">
      <c r="B11" s="128"/>
      <c r="C11" s="134">
        <v>0.51</v>
      </c>
      <c r="D11" s="134">
        <f t="shared" ref="D11:F11" si="0">(D10-C10)/C10</f>
        <v>8.4133746719213365E-2</v>
      </c>
      <c r="E11" s="134">
        <f t="shared" si="0"/>
        <v>-4.0622412359908157E-3</v>
      </c>
      <c r="F11" s="134">
        <f t="shared" si="0"/>
        <v>0.31256644957456614</v>
      </c>
      <c r="G11" s="167"/>
      <c r="H11" s="179">
        <f>(H10-G10)/G10</f>
        <v>6.2946030439600112E-4</v>
      </c>
      <c r="I11" s="167">
        <f>(I10-H10)/H10</f>
        <v>1.8311154776978831E-3</v>
      </c>
      <c r="J11" s="179">
        <f>(J10-I10)/I10</f>
        <v>0.13564842406641209</v>
      </c>
    </row>
    <row r="12" spans="2:17" ht="15">
      <c r="B12" s="131" t="s">
        <v>397</v>
      </c>
      <c r="C12" s="111"/>
      <c r="D12" s="111"/>
      <c r="E12" s="111"/>
      <c r="F12" s="111"/>
      <c r="G12" s="168"/>
      <c r="H12" s="180"/>
      <c r="I12" s="168"/>
    </row>
    <row r="13" spans="2:17" ht="15">
      <c r="B13" s="128" t="s">
        <v>398</v>
      </c>
      <c r="C13" s="135">
        <f t="shared" ref="C13:G13" si="1">33+4</f>
        <v>37</v>
      </c>
      <c r="D13" s="135">
        <f t="shared" si="1"/>
        <v>37</v>
      </c>
      <c r="E13" s="135">
        <f t="shared" si="1"/>
        <v>37</v>
      </c>
      <c r="F13" s="135">
        <f t="shared" si="1"/>
        <v>37</v>
      </c>
      <c r="G13" s="169">
        <f t="shared" si="1"/>
        <v>37</v>
      </c>
      <c r="H13" s="181">
        <v>37</v>
      </c>
      <c r="I13" s="169">
        <v>37</v>
      </c>
      <c r="J13" s="225">
        <v>37</v>
      </c>
    </row>
    <row r="14" spans="2:17" ht="15">
      <c r="B14" s="128" t="s">
        <v>399</v>
      </c>
      <c r="C14" s="135">
        <v>17</v>
      </c>
      <c r="D14" s="135">
        <v>17</v>
      </c>
      <c r="E14" s="135">
        <v>17</v>
      </c>
      <c r="F14" s="135">
        <v>17</v>
      </c>
      <c r="G14" s="169">
        <v>17</v>
      </c>
      <c r="H14" s="181">
        <v>17</v>
      </c>
      <c r="I14" s="169">
        <v>17</v>
      </c>
      <c r="J14" s="225">
        <v>17</v>
      </c>
    </row>
    <row r="15" spans="2:17" ht="15">
      <c r="B15" s="128" t="s">
        <v>400</v>
      </c>
      <c r="C15" s="135">
        <v>0</v>
      </c>
      <c r="D15" s="135">
        <v>0</v>
      </c>
      <c r="E15" s="135">
        <v>0</v>
      </c>
      <c r="F15" s="135">
        <v>0</v>
      </c>
      <c r="G15" s="169">
        <v>0</v>
      </c>
      <c r="H15" s="181"/>
      <c r="I15" s="169"/>
      <c r="J15" s="225">
        <v>-4.25</v>
      </c>
    </row>
    <row r="16" spans="2:17" ht="15">
      <c r="B16" s="128" t="s">
        <v>401</v>
      </c>
      <c r="C16" s="135">
        <v>0</v>
      </c>
      <c r="D16" s="135">
        <v>0</v>
      </c>
      <c r="E16" s="135">
        <v>0</v>
      </c>
      <c r="F16" s="135">
        <v>0</v>
      </c>
      <c r="G16" s="169">
        <v>0</v>
      </c>
      <c r="H16" s="181"/>
      <c r="I16" s="169"/>
      <c r="J16" s="22"/>
    </row>
    <row r="17" spans="2:10" ht="6.75" customHeight="1">
      <c r="B17" s="128"/>
      <c r="C17" s="111"/>
      <c r="D17" s="111"/>
      <c r="E17" s="111"/>
      <c r="F17" s="111"/>
      <c r="G17" s="168"/>
      <c r="H17" s="180"/>
      <c r="I17" s="168"/>
    </row>
    <row r="18" spans="2:10" ht="15.75" thickBot="1">
      <c r="B18" s="131" t="s">
        <v>402</v>
      </c>
      <c r="C18" s="136">
        <f t="shared" ref="C18:F18" si="2">SUM(C13:C17)</f>
        <v>54</v>
      </c>
      <c r="D18" s="136">
        <f t="shared" si="2"/>
        <v>54</v>
      </c>
      <c r="E18" s="136">
        <f t="shared" si="2"/>
        <v>54</v>
      </c>
      <c r="F18" s="136">
        <f t="shared" si="2"/>
        <v>54</v>
      </c>
      <c r="G18" s="170">
        <f t="shared" ref="G18" si="3">SUM(G13:G17)</f>
        <v>54</v>
      </c>
      <c r="H18" s="182">
        <f>SUM(H13:H17)</f>
        <v>54</v>
      </c>
      <c r="I18" s="182">
        <f t="shared" ref="I18:J18" si="4">SUM(I13:I17)</f>
        <v>54</v>
      </c>
      <c r="J18" s="182">
        <f t="shared" si="4"/>
        <v>49.75</v>
      </c>
    </row>
    <row r="19" spans="2:10" ht="15.75" thickTop="1">
      <c r="B19" s="128"/>
      <c r="C19" s="111"/>
      <c r="D19" s="111"/>
      <c r="E19" s="111"/>
      <c r="F19" s="111"/>
      <c r="G19" s="168"/>
      <c r="H19" s="180"/>
      <c r="I19" s="168"/>
    </row>
    <row r="20" spans="2:10" ht="15">
      <c r="B20" s="131" t="s">
        <v>271</v>
      </c>
      <c r="C20" s="111"/>
      <c r="D20" s="111"/>
      <c r="E20" s="111"/>
      <c r="F20" s="111"/>
      <c r="G20" s="168"/>
      <c r="H20" s="180"/>
      <c r="I20" s="168"/>
    </row>
    <row r="21" spans="2:10" ht="15">
      <c r="B21" s="128" t="s">
        <v>398</v>
      </c>
      <c r="C21" s="132">
        <f t="shared" ref="C21:F21" si="5">ROUND((C10*C13)/1000,0)</f>
        <v>382937</v>
      </c>
      <c r="D21" s="132">
        <f t="shared" si="5"/>
        <v>415155</v>
      </c>
      <c r="E21" s="132">
        <f t="shared" si="5"/>
        <v>413469</v>
      </c>
      <c r="F21" s="132">
        <f t="shared" si="5"/>
        <v>542705</v>
      </c>
      <c r="G21" s="171">
        <f t="shared" ref="G21" si="6">ROUND((G10*G13)/1000,0)</f>
        <v>772141</v>
      </c>
      <c r="H21" s="183">
        <v>772627</v>
      </c>
      <c r="I21" s="171">
        <f>I10*0.037</f>
        <v>774041.62799999991</v>
      </c>
      <c r="J21" s="226">
        <f>J10*0.037</f>
        <v>879039.15499999991</v>
      </c>
    </row>
    <row r="22" spans="2:10" ht="15">
      <c r="B22" s="128" t="s">
        <v>399</v>
      </c>
      <c r="C22" s="137">
        <f t="shared" ref="C22:F22" si="7">ROUND((C10*C14)/1000,0)</f>
        <v>175944</v>
      </c>
      <c r="D22" s="137">
        <f t="shared" si="7"/>
        <v>190747</v>
      </c>
      <c r="E22" s="137">
        <f t="shared" si="7"/>
        <v>189972</v>
      </c>
      <c r="F22" s="137">
        <f t="shared" si="7"/>
        <v>249351</v>
      </c>
      <c r="G22" s="172">
        <f t="shared" ref="G22" si="8">ROUND((G10*G14)/1000,0)</f>
        <v>354767</v>
      </c>
      <c r="H22" s="184">
        <v>354991</v>
      </c>
      <c r="I22" s="172">
        <f>I10*0.017</f>
        <v>355640.74800000002</v>
      </c>
      <c r="J22" s="227">
        <f>J10*0.017</f>
        <v>403882.85500000004</v>
      </c>
    </row>
    <row r="23" spans="2:10" ht="15">
      <c r="B23" s="128" t="s">
        <v>400</v>
      </c>
      <c r="C23" s="138">
        <f t="shared" ref="C23:F23" si="9">ROUND((C11*C15)/1000,0)</f>
        <v>0</v>
      </c>
      <c r="D23" s="138">
        <f t="shared" si="9"/>
        <v>0</v>
      </c>
      <c r="E23" s="138">
        <f t="shared" si="9"/>
        <v>0</v>
      </c>
      <c r="F23" s="138">
        <f t="shared" si="9"/>
        <v>0</v>
      </c>
      <c r="G23" s="173">
        <f t="shared" ref="G23" si="10">ROUND((G11*G15)/1000,0)</f>
        <v>0</v>
      </c>
      <c r="H23" s="185"/>
      <c r="I23" s="173"/>
      <c r="J23" s="262">
        <v>-100970</v>
      </c>
    </row>
    <row r="24" spans="2:10" ht="15">
      <c r="B24" s="128" t="s">
        <v>401</v>
      </c>
      <c r="C24" s="139">
        <f>ROUND(($B$8*C16)/1000,0)</f>
        <v>0</v>
      </c>
      <c r="D24" s="139">
        <f>ROUND(($B$8*D16)/1000,0)</f>
        <v>0</v>
      </c>
      <c r="E24" s="139">
        <f>ROUND(($B$8*E16)/1000,0)</f>
        <v>0</v>
      </c>
      <c r="F24" s="139">
        <f>ROUND(($B$8*F16)/1000,0)</f>
        <v>0</v>
      </c>
      <c r="G24" s="174">
        <f t="shared" ref="G24" si="11">ROUND(($B$8*G16)/1000,0)</f>
        <v>0</v>
      </c>
      <c r="H24" s="186"/>
      <c r="I24" s="174"/>
    </row>
    <row r="25" spans="2:10" ht="15">
      <c r="B25" s="128"/>
      <c r="C25" s="111"/>
      <c r="D25" s="111"/>
      <c r="E25" s="111"/>
      <c r="F25" s="111"/>
      <c r="G25" s="168"/>
      <c r="H25" s="180"/>
      <c r="I25" s="168"/>
    </row>
    <row r="26" spans="2:10" ht="15.75" thickBot="1">
      <c r="B26" s="131" t="s">
        <v>271</v>
      </c>
      <c r="C26" s="140">
        <f t="shared" ref="C26:F26" si="12">SUM(C21:C25)</f>
        <v>558881</v>
      </c>
      <c r="D26" s="140">
        <f t="shared" si="12"/>
        <v>605902</v>
      </c>
      <c r="E26" s="140">
        <f t="shared" si="12"/>
        <v>603441</v>
      </c>
      <c r="F26" s="140">
        <f t="shared" si="12"/>
        <v>792056</v>
      </c>
      <c r="G26" s="164">
        <f t="shared" ref="G26" si="13">SUM(G21:G25)</f>
        <v>1126908</v>
      </c>
      <c r="H26" s="140">
        <v>1127618</v>
      </c>
      <c r="I26" s="164">
        <f>I21+I22</f>
        <v>1129682.3759999999</v>
      </c>
      <c r="J26" s="228">
        <f>SUM(J21:J24)</f>
        <v>1181952.01</v>
      </c>
    </row>
    <row r="27" spans="2:10" ht="15" thickTop="1">
      <c r="B27" s="128"/>
      <c r="C27" s="128"/>
      <c r="D27" s="128"/>
      <c r="E27" s="128"/>
      <c r="F27" s="128"/>
      <c r="G27" s="133"/>
    </row>
    <row r="28" spans="2:10" ht="14.25">
      <c r="B28" s="128"/>
      <c r="C28" s="128"/>
      <c r="D28" s="128"/>
      <c r="E28" s="128"/>
      <c r="F28" s="128"/>
      <c r="G28" s="134"/>
    </row>
    <row r="29" spans="2:10" ht="14.25">
      <c r="G29" s="111"/>
    </row>
    <row r="30" spans="2:10" ht="14.25">
      <c r="G30" s="135"/>
    </row>
    <row r="31" spans="2:10" ht="14.25">
      <c r="G31" s="135"/>
      <c r="H31" s="229"/>
    </row>
    <row r="32" spans="2:10" ht="14.25">
      <c r="B32" s="22" t="s">
        <v>346</v>
      </c>
      <c r="G32" s="135"/>
    </row>
    <row r="33" spans="4:7" ht="14.25">
      <c r="G33" s="135"/>
    </row>
    <row r="34" spans="4:7" ht="14.25">
      <c r="D34" s="22"/>
      <c r="G34" s="111"/>
    </row>
    <row r="35" spans="4:7" ht="14.25">
      <c r="G35" s="135"/>
    </row>
    <row r="36" spans="4:7" ht="14.25">
      <c r="G36" s="111"/>
    </row>
    <row r="37" spans="4:7" ht="14.25">
      <c r="G37" s="111"/>
    </row>
    <row r="38" spans="4:7" ht="14.25">
      <c r="G38" s="132"/>
    </row>
    <row r="39" spans="4:7" ht="14.25">
      <c r="G39" s="137"/>
    </row>
    <row r="40" spans="4:7" ht="14.25">
      <c r="G40" s="138"/>
    </row>
    <row r="41" spans="4:7" ht="14.25">
      <c r="G41" s="139"/>
    </row>
    <row r="42" spans="4:7" ht="14.25">
      <c r="G42" s="111"/>
    </row>
    <row r="43" spans="4:7" ht="15" thickBot="1">
      <c r="G43" s="175"/>
    </row>
    <row r="44" spans="4:7" ht="13.5" thickTop="1"/>
  </sheetData>
  <mergeCells count="3">
    <mergeCell ref="B3:J3"/>
    <mergeCell ref="B4:J4"/>
    <mergeCell ref="B5:J5"/>
  </mergeCells>
  <pageMargins left="0.7" right="0" top="0.5" bottom="0.75" header="0.3" footer="0.3"/>
  <pageSetup paperSize="5"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6"/>
  <sheetViews>
    <sheetView workbookViewId="0">
      <selection activeCell="A5" sqref="A5:G14"/>
    </sheetView>
  </sheetViews>
  <sheetFormatPr defaultColWidth="8.85546875" defaultRowHeight="12.75"/>
  <cols>
    <col min="1" max="1" width="23.85546875" bestFit="1" customWidth="1"/>
    <col min="2" max="2" width="12.85546875" bestFit="1" customWidth="1"/>
    <col min="3" max="3" width="12.7109375" customWidth="1"/>
    <col min="4" max="4" width="11.28515625" customWidth="1"/>
    <col min="5" max="5" width="13.28515625" customWidth="1"/>
    <col min="6" max="6" width="10.28515625" bestFit="1" customWidth="1"/>
    <col min="7" max="7" width="43.85546875" bestFit="1" customWidth="1"/>
    <col min="8" max="8" width="2.7109375" customWidth="1"/>
    <col min="9" max="9" width="11.28515625" bestFit="1" customWidth="1"/>
    <col min="10" max="10" width="10.7109375" customWidth="1"/>
    <col min="11" max="11" width="10.28515625" customWidth="1"/>
    <col min="12" max="12" width="11.28515625" bestFit="1" customWidth="1"/>
    <col min="13" max="13" width="3.7109375" customWidth="1"/>
    <col min="14" max="14" width="13.28515625" customWidth="1"/>
    <col min="16" max="16" width="10.28515625" customWidth="1"/>
    <col min="18" max="18" width="14.85546875" bestFit="1" customWidth="1"/>
  </cols>
  <sheetData>
    <row r="4" spans="1:7">
      <c r="B4" s="26"/>
      <c r="C4" s="26"/>
      <c r="D4" s="26"/>
    </row>
    <row r="5" spans="1:7">
      <c r="A5" s="26"/>
      <c r="B5" s="26"/>
      <c r="C5" s="26"/>
      <c r="D5" s="26"/>
    </row>
    <row r="6" spans="1:7">
      <c r="A6" s="53" t="s">
        <v>284</v>
      </c>
      <c r="B6" s="53" t="e">
        <f>[1]BudgetData!D1</f>
        <v>#REF!</v>
      </c>
      <c r="C6" s="49" t="s">
        <v>136</v>
      </c>
      <c r="D6" s="49" t="s">
        <v>137</v>
      </c>
      <c r="E6" s="49" t="s">
        <v>64</v>
      </c>
      <c r="F6" s="49" t="s">
        <v>65</v>
      </c>
    </row>
    <row r="7" spans="1:7">
      <c r="A7" s="26" t="s">
        <v>280</v>
      </c>
      <c r="B7" s="56" t="e">
        <f>'Gen Fund'!#REF!</f>
        <v>#REF!</v>
      </c>
      <c r="C7" s="48" t="e">
        <f>'Budget Summary'!#REF!</f>
        <v>#REF!</v>
      </c>
      <c r="D7" s="48" t="e">
        <f>'Budget Summary'!F28</f>
        <v>#REF!</v>
      </c>
      <c r="E7" s="48" t="e">
        <f>'Budget Summary'!#REF!</f>
        <v>#REF!</v>
      </c>
      <c r="F7" s="48" t="e">
        <f>'Budget Summary'!G28</f>
        <v>#REF!</v>
      </c>
    </row>
    <row r="8" spans="1:7">
      <c r="A8" s="26" t="s">
        <v>281</v>
      </c>
      <c r="B8" s="38" t="e">
        <f>'Ent Fund'!#REF!</f>
        <v>#REF!</v>
      </c>
      <c r="C8" s="38" t="e">
        <f>'Budget Summary'!#REF!</f>
        <v>#REF!</v>
      </c>
      <c r="D8" s="38" t="e">
        <f>'Budget Summary'!F64</f>
        <v>#REF!</v>
      </c>
      <c r="E8" s="38" t="e">
        <f>'Budget Summary'!#REF!</f>
        <v>#REF!</v>
      </c>
      <c r="F8" s="38" t="e">
        <f>'Budget Summary'!G64</f>
        <v>#REF!</v>
      </c>
    </row>
    <row r="9" spans="1:7">
      <c r="A9" s="26" t="s">
        <v>282</v>
      </c>
      <c r="B9" s="37" t="e">
        <f>'Debt Service'!#REF!</f>
        <v>#REF!</v>
      </c>
      <c r="C9" s="38" t="e">
        <f>'Budget Summary'!#REF!</f>
        <v>#REF!</v>
      </c>
      <c r="D9" s="38" t="e">
        <f>'Budget Summary'!F88</f>
        <v>#REF!</v>
      </c>
      <c r="E9" s="38" t="e">
        <f>'Budget Summary'!#REF!</f>
        <v>#REF!</v>
      </c>
      <c r="F9" s="38" t="e">
        <f>'Budget Summary'!G88</f>
        <v>#REF!</v>
      </c>
    </row>
    <row r="10" spans="1:7">
      <c r="A10" s="26" t="s">
        <v>283</v>
      </c>
      <c r="B10" s="37" t="e">
        <f>#REF!</f>
        <v>#REF!</v>
      </c>
      <c r="C10" s="38" t="e">
        <f>'Budget Summary'!#REF!</f>
        <v>#REF!</v>
      </c>
      <c r="D10" s="38" t="e">
        <f>'Budget Summary'!F120</f>
        <v>#REF!</v>
      </c>
      <c r="E10" s="38" t="e">
        <f>'Budget Summary'!#REF!</f>
        <v>#REF!</v>
      </c>
      <c r="F10" s="38" t="e">
        <f>'Budget Summary'!G120</f>
        <v>#REF!</v>
      </c>
    </row>
    <row r="11" spans="1:7">
      <c r="A11" s="26"/>
      <c r="B11" s="26"/>
      <c r="C11" s="26"/>
      <c r="D11" s="26"/>
      <c r="E11" s="26"/>
    </row>
    <row r="12" spans="1:7" ht="13.5" thickBot="1">
      <c r="A12" s="26" t="s">
        <v>73</v>
      </c>
      <c r="B12" s="50" t="e">
        <f>SUM(B7:B11)</f>
        <v>#REF!</v>
      </c>
      <c r="C12" s="50" t="e">
        <f>SUM(C7:C11)</f>
        <v>#REF!</v>
      </c>
      <c r="D12" s="50" t="e">
        <f>SUM(D7:D11)</f>
        <v>#REF!</v>
      </c>
      <c r="E12" s="50" t="e">
        <f>SUM(E7:E11)</f>
        <v>#REF!</v>
      </c>
      <c r="F12" s="50" t="e">
        <f>SUM(F7:F11)</f>
        <v>#REF!</v>
      </c>
    </row>
    <row r="13" spans="1:7" ht="13.5" thickTop="1">
      <c r="D13" s="51" t="e">
        <f>D12-C12</f>
        <v>#REF!</v>
      </c>
      <c r="F13" s="51" t="e">
        <f>F12-E12</f>
        <v>#REF!</v>
      </c>
      <c r="G13" t="s">
        <v>67</v>
      </c>
    </row>
    <row r="14" spans="1:7">
      <c r="D14" t="s">
        <v>66</v>
      </c>
      <c r="F14" s="52" t="e">
        <f>'Debt Service'!#REF!</f>
        <v>#REF!</v>
      </c>
      <c r="G14" t="s">
        <v>68</v>
      </c>
    </row>
    <row r="18" spans="2:2">
      <c r="B18" s="9">
        <v>5010446</v>
      </c>
    </row>
    <row r="19" spans="2:2">
      <c r="B19" s="9">
        <v>10982</v>
      </c>
    </row>
    <row r="20" spans="2:2">
      <c r="B20" s="9">
        <v>13248</v>
      </c>
    </row>
    <row r="21" spans="2:2">
      <c r="B21" s="9">
        <v>400137</v>
      </c>
    </row>
    <row r="22" spans="2:2">
      <c r="B22" s="9"/>
    </row>
    <row r="23" spans="2:2">
      <c r="B23" s="9"/>
    </row>
    <row r="24" spans="2:2">
      <c r="B24" s="9"/>
    </row>
    <row r="25" spans="2:2">
      <c r="B25" s="9"/>
    </row>
    <row r="26" spans="2:2">
      <c r="B26" s="9"/>
    </row>
    <row r="27" spans="2:2">
      <c r="B27" s="9"/>
    </row>
    <row r="28" spans="2:2">
      <c r="B28" s="9" t="e">
        <f>SUM(B12:B27)</f>
        <v>#REF!</v>
      </c>
    </row>
    <row r="29" spans="2:2">
      <c r="B29" s="9"/>
    </row>
    <row r="30" spans="2:2">
      <c r="B30" s="9"/>
    </row>
    <row r="31" spans="2:2">
      <c r="B31" s="9">
        <v>5957949</v>
      </c>
    </row>
    <row r="32" spans="2:2">
      <c r="B32" s="9" t="e">
        <f>B31-B28</f>
        <v>#REF!</v>
      </c>
    </row>
    <row r="33" spans="2:2">
      <c r="B33" s="9"/>
    </row>
    <row r="34" spans="2:2">
      <c r="B34" s="9"/>
    </row>
    <row r="35" spans="2:2">
      <c r="B35" s="9"/>
    </row>
    <row r="36" spans="2:2">
      <c r="B36" s="9"/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B21" sqref="B21"/>
    </sheetView>
  </sheetViews>
  <sheetFormatPr defaultColWidth="8.85546875" defaultRowHeight="12.75"/>
  <cols>
    <col min="1" max="1" width="23.28515625" bestFit="1" customWidth="1"/>
    <col min="2" max="2" width="11.28515625" bestFit="1" customWidth="1"/>
    <col min="3" max="3" width="13.7109375" customWidth="1"/>
  </cols>
  <sheetData>
    <row r="2" spans="1:4">
      <c r="B2" t="s">
        <v>130</v>
      </c>
      <c r="C2" t="s">
        <v>129</v>
      </c>
      <c r="D2" t="s">
        <v>131</v>
      </c>
    </row>
    <row r="4" spans="1:4">
      <c r="A4" t="s">
        <v>30</v>
      </c>
      <c r="B4" s="9" t="e">
        <f>'Budget Summary'!#REF!</f>
        <v>#REF!</v>
      </c>
      <c r="C4" s="9">
        <v>524211</v>
      </c>
      <c r="D4" s="10" t="e">
        <f>B4-C4</f>
        <v>#REF!</v>
      </c>
    </row>
    <row r="5" spans="1:4">
      <c r="A5" t="s">
        <v>124</v>
      </c>
      <c r="B5" s="9" t="e">
        <f>'Budget Summary'!#REF!</f>
        <v>#REF!</v>
      </c>
      <c r="C5" s="9">
        <v>0</v>
      </c>
      <c r="D5" s="10" t="e">
        <f>B5-C5</f>
        <v>#REF!</v>
      </c>
    </row>
    <row r="6" spans="1:4">
      <c r="A6" t="s">
        <v>132</v>
      </c>
      <c r="B6" s="9" t="e">
        <f>'Budget Summary'!#REF!</f>
        <v>#REF!</v>
      </c>
      <c r="C6" s="9">
        <v>41937</v>
      </c>
      <c r="D6" s="10" t="e">
        <f>B6-C6</f>
        <v>#REF!</v>
      </c>
    </row>
    <row r="7" spans="1:4">
      <c r="A7" t="s">
        <v>133</v>
      </c>
      <c r="B7" s="9">
        <v>0</v>
      </c>
      <c r="C7" s="9">
        <v>0</v>
      </c>
      <c r="D7" s="10">
        <f>B7-C7</f>
        <v>0</v>
      </c>
    </row>
    <row r="8" spans="1:4">
      <c r="A8" t="s">
        <v>286</v>
      </c>
      <c r="B8" s="9" t="e">
        <f>SUM(B4:B7)</f>
        <v>#REF!</v>
      </c>
      <c r="C8" s="9">
        <f>SUM(C4:C7)</f>
        <v>566148</v>
      </c>
      <c r="D8" s="9" t="e">
        <f>SUM(D4:D7)</f>
        <v>#REF!</v>
      </c>
    </row>
    <row r="9" spans="1:4">
      <c r="B9" s="9"/>
      <c r="C9" s="9"/>
      <c r="D9" s="10"/>
    </row>
    <row r="10" spans="1:4">
      <c r="B10" s="9"/>
      <c r="C10" s="9"/>
    </row>
    <row r="11" spans="1:4">
      <c r="A11" t="s">
        <v>105</v>
      </c>
      <c r="B11" s="9"/>
      <c r="C11" s="9"/>
    </row>
    <row r="12" spans="1:4">
      <c r="A12" s="32" t="s">
        <v>125</v>
      </c>
      <c r="B12" s="9" t="e">
        <f>'Budget Summary'!#REF!</f>
        <v>#REF!</v>
      </c>
      <c r="C12" s="9"/>
    </row>
    <row r="13" spans="1:4">
      <c r="A13" s="32" t="s">
        <v>126</v>
      </c>
      <c r="B13" s="9" t="e">
        <f>'Budget Summary'!#REF!-B21</f>
        <v>#REF!</v>
      </c>
      <c r="C13" s="9">
        <v>850000</v>
      </c>
    </row>
    <row r="14" spans="1:4">
      <c r="A14" s="32" t="s">
        <v>127</v>
      </c>
      <c r="B14" s="9" t="e">
        <f>'Budget Summary'!#REF!</f>
        <v>#REF!</v>
      </c>
      <c r="C14" s="9"/>
    </row>
    <row r="15" spans="1:4">
      <c r="A15" s="32" t="s">
        <v>128</v>
      </c>
      <c r="B15" s="9" t="e">
        <f>'Budget Summary'!#REF!-790576</f>
        <v>#REF!</v>
      </c>
      <c r="C15" s="9"/>
    </row>
    <row r="16" spans="1:4">
      <c r="A16" s="32" t="s">
        <v>266</v>
      </c>
      <c r="B16" s="9" t="e">
        <f>SUM(B12:B15)</f>
        <v>#REF!</v>
      </c>
      <c r="C16" s="9">
        <f>SUM(C12:C15)</f>
        <v>850000</v>
      </c>
    </row>
    <row r="17" spans="1:3">
      <c r="A17" s="32"/>
      <c r="B17" s="9"/>
      <c r="C17" s="9"/>
    </row>
    <row r="18" spans="1:3">
      <c r="A18" s="32"/>
      <c r="B18" s="9"/>
      <c r="C18" s="9"/>
    </row>
    <row r="19" spans="1:3">
      <c r="B19" s="9"/>
      <c r="C19" s="9"/>
    </row>
    <row r="20" spans="1:3">
      <c r="A20" s="47" t="s">
        <v>134</v>
      </c>
      <c r="B20" s="9"/>
      <c r="C20" s="9"/>
    </row>
    <row r="21" spans="1:3">
      <c r="A21" t="s">
        <v>279</v>
      </c>
      <c r="B21" s="9" t="e">
        <f>'Budget Summary'!#REF!-B23-B24</f>
        <v>#REF!</v>
      </c>
      <c r="C21" s="9">
        <f>790576-C22</f>
        <v>774418</v>
      </c>
    </row>
    <row r="22" spans="1:3">
      <c r="B22" s="9"/>
      <c r="C22" s="9">
        <v>16158</v>
      </c>
    </row>
    <row r="23" spans="1:3">
      <c r="A23" t="s">
        <v>135</v>
      </c>
      <c r="B23" s="9">
        <v>58300</v>
      </c>
      <c r="C23" s="9">
        <v>58300</v>
      </c>
    </row>
    <row r="24" spans="1:3">
      <c r="A24" t="s">
        <v>278</v>
      </c>
      <c r="B24" s="9">
        <f>109676+27399+14575+4627</f>
        <v>156277</v>
      </c>
      <c r="C24" s="9">
        <v>156277</v>
      </c>
    </row>
    <row r="25" spans="1:3">
      <c r="B25" s="9"/>
      <c r="C25" s="9"/>
    </row>
    <row r="26" spans="1:3">
      <c r="B26" s="9" t="e">
        <f>SUM(B21:B25)</f>
        <v>#REF!</v>
      </c>
      <c r="C26" s="9">
        <f>SUM(C21:C25)</f>
        <v>1005153</v>
      </c>
    </row>
  </sheetData>
  <phoneticPr fontId="2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1"/>
  <sheetViews>
    <sheetView workbookViewId="0">
      <pane ySplit="6" topLeftCell="A82" activePane="bottomLeft" state="frozen"/>
      <selection activeCell="I17" sqref="I17"/>
      <selection pane="bottomLeft" activeCell="C21" sqref="C21"/>
    </sheetView>
  </sheetViews>
  <sheetFormatPr defaultColWidth="9.140625" defaultRowHeight="12.75"/>
  <cols>
    <col min="1" max="1" width="30.28515625" style="26" customWidth="1"/>
    <col min="2" max="2" width="9.140625" style="26"/>
    <col min="3" max="4" width="18.140625" style="26" customWidth="1"/>
    <col min="5" max="5" width="18.140625" style="26" hidden="1" customWidth="1"/>
    <col min="6" max="9" width="18.140625" style="26" customWidth="1"/>
    <col min="10" max="16384" width="9.140625" style="26"/>
  </cols>
  <sheetData>
    <row r="1" spans="1:9">
      <c r="A1" s="279" t="s">
        <v>227</v>
      </c>
      <c r="B1" s="279"/>
      <c r="C1" s="279"/>
      <c r="D1" s="279"/>
      <c r="E1" s="279"/>
      <c r="F1" s="279"/>
      <c r="G1" s="279"/>
      <c r="H1" s="1"/>
      <c r="I1" s="1"/>
    </row>
    <row r="2" spans="1:9">
      <c r="A2" s="279" t="s">
        <v>14</v>
      </c>
      <c r="B2" s="279"/>
      <c r="C2" s="279"/>
      <c r="D2" s="279"/>
      <c r="E2" s="279"/>
      <c r="F2" s="279"/>
      <c r="G2" s="279"/>
      <c r="H2" s="1"/>
      <c r="I2" s="1"/>
    </row>
    <row r="3" spans="1:9">
      <c r="A3" s="279" t="str">
        <f>'Gen Fund'!A4</f>
        <v xml:space="preserve"> </v>
      </c>
      <c r="B3" s="279"/>
      <c r="C3" s="279"/>
      <c r="D3" s="279"/>
      <c r="E3" s="279"/>
      <c r="F3" s="279"/>
      <c r="G3" s="279"/>
      <c r="H3" s="1"/>
      <c r="I3" s="1"/>
    </row>
    <row r="4" spans="1:9" s="22" customFormat="1" ht="13.5" thickBot="1"/>
    <row r="5" spans="1:9" ht="13.5" thickTop="1">
      <c r="A5" s="22"/>
      <c r="B5" s="22"/>
      <c r="C5" s="23" t="e">
        <f>#REF!</f>
        <v>#REF!</v>
      </c>
      <c r="D5" s="24" t="e">
        <f>[1]BudgetData!D1</f>
        <v>#REF!</v>
      </c>
      <c r="E5" s="24" t="e">
        <f>[1]BudgetData!#REF!</f>
        <v>#REF!</v>
      </c>
      <c r="F5" s="24">
        <v>2009</v>
      </c>
      <c r="G5" s="60">
        <v>2009</v>
      </c>
      <c r="H5" s="24">
        <v>2009</v>
      </c>
      <c r="I5" s="25">
        <v>2010</v>
      </c>
    </row>
    <row r="6" spans="1:9" ht="26.25" thickBot="1">
      <c r="C6" s="27" t="s">
        <v>265</v>
      </c>
      <c r="D6" s="28" t="s">
        <v>297</v>
      </c>
      <c r="E6" s="28" t="s">
        <v>76</v>
      </c>
      <c r="F6" s="28" t="s">
        <v>296</v>
      </c>
      <c r="G6" s="59" t="s">
        <v>76</v>
      </c>
      <c r="H6" s="21" t="s">
        <v>15</v>
      </c>
      <c r="I6" s="62" t="s">
        <v>296</v>
      </c>
    </row>
    <row r="7" spans="1:9" ht="13.5" thickTop="1"/>
    <row r="8" spans="1:9" ht="18">
      <c r="A8" s="44" t="s">
        <v>119</v>
      </c>
    </row>
    <row r="9" spans="1:9">
      <c r="A9" s="29"/>
    </row>
    <row r="10" spans="1:9">
      <c r="A10" s="29" t="s">
        <v>106</v>
      </c>
      <c r="C10" s="35" t="e">
        <f>'Gen Fund'!#REF!</f>
        <v>#REF!</v>
      </c>
      <c r="D10" s="35" t="e">
        <f>'Gen Fund'!#REF!</f>
        <v>#REF!</v>
      </c>
      <c r="E10" s="35" t="e">
        <f>'Gen Fund'!#REF!</f>
        <v>#REF!</v>
      </c>
      <c r="F10" s="35" t="e">
        <f>'Gen Fund'!#REF!</f>
        <v>#REF!</v>
      </c>
      <c r="G10" s="35" t="e">
        <f>'Gen Fund'!#REF!</f>
        <v>#REF!</v>
      </c>
      <c r="H10" s="35" t="e">
        <f>'Gen Fund'!#REF!</f>
        <v>#REF!</v>
      </c>
      <c r="I10" s="35" t="e">
        <f>'Gen Fund'!#REF!</f>
        <v>#REF!</v>
      </c>
    </row>
    <row r="12" spans="1:9">
      <c r="A12" s="31" t="s">
        <v>104</v>
      </c>
    </row>
    <row r="13" spans="1:9">
      <c r="A13" s="30" t="s">
        <v>287</v>
      </c>
      <c r="C13" s="38" t="e">
        <f>'Gen Fund'!#REF!</f>
        <v>#REF!</v>
      </c>
      <c r="D13" s="38" t="e">
        <f>'Gen Fund'!#REF!</f>
        <v>#REF!</v>
      </c>
      <c r="E13" s="38" t="e">
        <f>'Gen Fund'!#REF!</f>
        <v>#REF!</v>
      </c>
      <c r="F13" s="38" t="e">
        <f>'Gen Fund'!#REF!</f>
        <v>#REF!</v>
      </c>
      <c r="G13" s="38" t="e">
        <f>'Gen Fund'!#REF!</f>
        <v>#REF!</v>
      </c>
      <c r="H13" s="38" t="e">
        <f>'Gen Fund'!#REF!</f>
        <v>#REF!</v>
      </c>
      <c r="I13" s="38" t="e">
        <f>'Gen Fund'!#REF!</f>
        <v>#REF!</v>
      </c>
    </row>
    <row r="14" spans="1:9">
      <c r="A14" s="30" t="s">
        <v>109</v>
      </c>
      <c r="C14" s="41" t="e">
        <f>'Gen Fund'!#REF!-'Gen Fund'!#REF!-'Gen Fund'!#REF!</f>
        <v>#REF!</v>
      </c>
      <c r="D14" s="41" t="e">
        <f>'Gen Fund'!#REF!-'Gen Fund'!#REF!-'Gen Fund'!#REF!</f>
        <v>#REF!</v>
      </c>
      <c r="E14" s="41" t="e">
        <f>'Gen Fund'!#REF!-'Gen Fund'!#REF!-'Gen Fund'!#REF!</f>
        <v>#REF!</v>
      </c>
      <c r="F14" s="41" t="e">
        <f>'Gen Fund'!#REF!-'Gen Fund'!#REF!-'Gen Fund'!#REF!</f>
        <v>#REF!</v>
      </c>
      <c r="G14" s="41" t="e">
        <f>'Gen Fund'!#REF!-'Gen Fund'!#REF!-'Gen Fund'!#REF!</f>
        <v>#REF!</v>
      </c>
      <c r="H14" s="41" t="e">
        <f>'Gen Fund'!#REF!-'Gen Fund'!#REF!-'Gen Fund'!#REF!-H15</f>
        <v>#REF!</v>
      </c>
      <c r="I14" s="41" t="e">
        <f>'Gen Fund'!#REF!-'Gen Fund'!#REF!-'Gen Fund'!#REF!</f>
        <v>#REF!</v>
      </c>
    </row>
    <row r="15" spans="1:9">
      <c r="A15" s="32" t="s">
        <v>13</v>
      </c>
      <c r="C15" s="41" t="e">
        <f>'Gen Fund'!#REF!</f>
        <v>#REF!</v>
      </c>
      <c r="D15" s="41" t="e">
        <f>'Gen Fund'!#REF!</f>
        <v>#REF!</v>
      </c>
      <c r="E15" s="41"/>
      <c r="F15" s="41" t="e">
        <f>'Gen Fund'!#REF!</f>
        <v>#REF!</v>
      </c>
      <c r="G15" s="41" t="e">
        <f>'Gen Fund'!#REF!</f>
        <v>#REF!</v>
      </c>
      <c r="H15" s="41" t="e">
        <f>'Gen Fund'!#REF!</f>
        <v>#REF!</v>
      </c>
      <c r="I15" s="41" t="e">
        <f>'Gen Fund'!#REF!</f>
        <v>#REF!</v>
      </c>
    </row>
    <row r="16" spans="1:9">
      <c r="A16" s="30" t="s">
        <v>118</v>
      </c>
      <c r="C16" s="41" t="e">
        <f>'Gen Fund'!#REF!</f>
        <v>#REF!</v>
      </c>
      <c r="D16" s="41" t="e">
        <f>'Gen Fund'!#REF!</f>
        <v>#REF!</v>
      </c>
      <c r="E16" s="41" t="e">
        <f>'Gen Fund'!#REF!</f>
        <v>#REF!</v>
      </c>
      <c r="F16" s="41" t="e">
        <f>'Gen Fund'!#REF!</f>
        <v>#REF!</v>
      </c>
      <c r="G16" s="41" t="e">
        <f>'Gen Fund'!#REF!</f>
        <v>#REF!</v>
      </c>
      <c r="H16" s="41" t="e">
        <f>'Gen Fund'!#REF!</f>
        <v>#REF!</v>
      </c>
      <c r="I16" s="41" t="e">
        <f>'Gen Fund'!#REF!</f>
        <v>#REF!</v>
      </c>
    </row>
    <row r="17" spans="1:9">
      <c r="A17" s="30" t="s">
        <v>71</v>
      </c>
      <c r="C17" s="41" t="e">
        <f>'Gen Fund'!#REF!</f>
        <v>#REF!</v>
      </c>
      <c r="D17" s="41" t="e">
        <f>'Gen Fund'!#REF!</f>
        <v>#REF!</v>
      </c>
      <c r="E17" s="41" t="e">
        <f>'Gen Fund'!#REF!</f>
        <v>#REF!</v>
      </c>
      <c r="F17" s="41" t="e">
        <f>'Gen Fund'!#REF!</f>
        <v>#REF!</v>
      </c>
      <c r="G17" s="41" t="e">
        <f>'Gen Fund'!#REF!</f>
        <v>#REF!</v>
      </c>
      <c r="H17" s="41" t="e">
        <f>'Gen Fund'!#REF!</f>
        <v>#REF!</v>
      </c>
      <c r="I17" s="41" t="e">
        <f>'Gen Fund'!#REF!</f>
        <v>#REF!</v>
      </c>
    </row>
    <row r="18" spans="1:9">
      <c r="A18" s="39" t="s">
        <v>286</v>
      </c>
      <c r="C18" s="42" t="e">
        <f t="shared" ref="C18:I18" si="0">SUM(C13:C17)</f>
        <v>#REF!</v>
      </c>
      <c r="D18" s="42" t="e">
        <f t="shared" si="0"/>
        <v>#REF!</v>
      </c>
      <c r="E18" s="42" t="e">
        <f t="shared" si="0"/>
        <v>#REF!</v>
      </c>
      <c r="F18" s="42" t="e">
        <f t="shared" si="0"/>
        <v>#REF!</v>
      </c>
      <c r="G18" s="42" t="e">
        <f t="shared" si="0"/>
        <v>#REF!</v>
      </c>
      <c r="H18" s="42" t="e">
        <f t="shared" si="0"/>
        <v>#REF!</v>
      </c>
      <c r="I18" s="42" t="e">
        <f t="shared" si="0"/>
        <v>#REF!</v>
      </c>
    </row>
    <row r="20" spans="1:9">
      <c r="A20" s="26" t="s">
        <v>105</v>
      </c>
    </row>
    <row r="21" spans="1:9">
      <c r="A21" s="30" t="s">
        <v>107</v>
      </c>
      <c r="C21" s="33" t="e">
        <f>'Gen Fund'!#REF!-'Gen Fund'!#REF!-'Gen Fund'!#REF!+'Gen Fund'!#REF!</f>
        <v>#REF!</v>
      </c>
      <c r="D21" s="33" t="e">
        <f>'Gen Fund'!#REF!-'Gen Fund'!#REF!-'Gen Fund'!#REF!+'Gen Fund'!#REF!</f>
        <v>#REF!</v>
      </c>
      <c r="E21" s="33" t="e">
        <f>'Gen Fund'!#REF!-'Gen Fund'!#REF!-'Gen Fund'!#REF!+'Gen Fund'!#REF!</f>
        <v>#REF!</v>
      </c>
      <c r="F21" s="33" t="e">
        <f>'Gen Fund'!#REF!-'Gen Fund'!#REF!-'Gen Fund'!#REF!</f>
        <v>#REF!</v>
      </c>
      <c r="G21" s="33" t="e">
        <f>'Gen Fund'!#REF!-'Gen Fund'!#REF!-'Gen Fund'!#REF!</f>
        <v>#REF!</v>
      </c>
      <c r="H21" s="33" t="e">
        <f>'Gen Fund'!#REF!-'Gen Fund'!#REF!-'Gen Fund'!#REF!</f>
        <v>#REF!</v>
      </c>
      <c r="I21" s="33" t="e">
        <f>'Gen Fund'!#REF!-'Gen Fund'!#REF!-'Gen Fund'!#REF!</f>
        <v>#REF!</v>
      </c>
    </row>
    <row r="22" spans="1:9">
      <c r="A22" s="32" t="s">
        <v>253</v>
      </c>
      <c r="C22" s="33" t="e">
        <f>'Gen Fund'!#REF!</f>
        <v>#REF!</v>
      </c>
      <c r="D22" s="33" t="e">
        <f>'Gen Fund'!#REF!</f>
        <v>#REF!</v>
      </c>
      <c r="E22" s="33" t="e">
        <f>'Gen Fund'!#REF!</f>
        <v>#REF!</v>
      </c>
      <c r="F22" s="33" t="e">
        <f>'Gen Fund'!#REF!</f>
        <v>#REF!</v>
      </c>
      <c r="G22" s="33" t="e">
        <f>'Gen Fund'!#REF!</f>
        <v>#REF!</v>
      </c>
      <c r="H22" s="33" t="e">
        <f>'Gen Fund'!#REF!</f>
        <v>#REF!</v>
      </c>
      <c r="I22" s="33" t="e">
        <f>'Gen Fund'!#REF!</f>
        <v>#REF!</v>
      </c>
    </row>
    <row r="23" spans="1:9">
      <c r="A23" s="32" t="s">
        <v>103</v>
      </c>
      <c r="C23" s="33" t="e">
        <f>'Gen Fund'!#REF!</f>
        <v>#REF!</v>
      </c>
      <c r="D23" s="33" t="e">
        <f>'Gen Fund'!#REF!</f>
        <v>#REF!</v>
      </c>
      <c r="E23" s="33" t="e">
        <f>'Gen Fund'!#REF!</f>
        <v>#REF!</v>
      </c>
      <c r="F23" s="33" t="e">
        <f>'Gen Fund'!#REF!</f>
        <v>#REF!</v>
      </c>
      <c r="G23" s="33" t="e">
        <f>'Gen Fund'!#REF!</f>
        <v>#REF!</v>
      </c>
      <c r="H23" s="33" t="e">
        <f>'Gen Fund'!#REF!</f>
        <v>#REF!</v>
      </c>
      <c r="I23" s="33" t="e">
        <f>'Gen Fund'!#REF!</f>
        <v>#REF!</v>
      </c>
    </row>
    <row r="24" spans="1:9">
      <c r="A24" s="40" t="s">
        <v>266</v>
      </c>
      <c r="C24" s="34" t="e">
        <f t="shared" ref="C24:I24" si="1">SUM(C21:C23)</f>
        <v>#REF!</v>
      </c>
      <c r="D24" s="34" t="e">
        <f t="shared" si="1"/>
        <v>#REF!</v>
      </c>
      <c r="E24" s="34" t="e">
        <f t="shared" si="1"/>
        <v>#REF!</v>
      </c>
      <c r="F24" s="34" t="e">
        <f t="shared" si="1"/>
        <v>#REF!</v>
      </c>
      <c r="G24" s="34" t="e">
        <f t="shared" si="1"/>
        <v>#REF!</v>
      </c>
      <c r="H24" s="34" t="e">
        <f t="shared" si="1"/>
        <v>#REF!</v>
      </c>
      <c r="I24" s="34" t="e">
        <f t="shared" si="1"/>
        <v>#REF!</v>
      </c>
    </row>
    <row r="25" spans="1:9">
      <c r="A25" s="32"/>
      <c r="C25" s="33"/>
      <c r="D25" s="33"/>
      <c r="E25" s="33"/>
      <c r="F25" s="33"/>
      <c r="G25" s="33"/>
      <c r="H25" s="33"/>
      <c r="I25" s="33"/>
    </row>
    <row r="26" spans="1:9">
      <c r="A26" s="2" t="s">
        <v>113</v>
      </c>
      <c r="C26" s="36" t="e">
        <f t="shared" ref="C26:I26" si="2">C18-C24</f>
        <v>#REF!</v>
      </c>
      <c r="D26" s="36" t="e">
        <f t="shared" si="2"/>
        <v>#REF!</v>
      </c>
      <c r="E26" s="36" t="e">
        <f t="shared" si="2"/>
        <v>#REF!</v>
      </c>
      <c r="F26" s="36" t="e">
        <f t="shared" si="2"/>
        <v>#REF!</v>
      </c>
      <c r="G26" s="36" t="e">
        <f t="shared" si="2"/>
        <v>#REF!</v>
      </c>
      <c r="H26" s="36" t="e">
        <f t="shared" si="2"/>
        <v>#REF!</v>
      </c>
      <c r="I26" s="36" t="e">
        <f t="shared" si="2"/>
        <v>#REF!</v>
      </c>
    </row>
    <row r="28" spans="1:9" ht="13.5" thickBot="1">
      <c r="A28" s="2" t="s">
        <v>108</v>
      </c>
      <c r="C28" s="43" t="e">
        <f t="shared" ref="C28:I28" si="3">C10+C26</f>
        <v>#REF!</v>
      </c>
      <c r="D28" s="43" t="e">
        <f t="shared" si="3"/>
        <v>#REF!</v>
      </c>
      <c r="E28" s="43" t="e">
        <f t="shared" si="3"/>
        <v>#REF!</v>
      </c>
      <c r="F28" s="43" t="e">
        <f t="shared" si="3"/>
        <v>#REF!</v>
      </c>
      <c r="G28" s="43" t="e">
        <f t="shared" si="3"/>
        <v>#REF!</v>
      </c>
      <c r="H28" s="43" t="e">
        <f t="shared" si="3"/>
        <v>#REF!</v>
      </c>
      <c r="I28" s="43" t="e">
        <f t="shared" si="3"/>
        <v>#REF!</v>
      </c>
    </row>
    <row r="29" spans="1:9" ht="13.5" thickTop="1">
      <c r="C29" s="37" t="e">
        <f>C28-'Gen Fund'!#REF!</f>
        <v>#REF!</v>
      </c>
      <c r="D29" s="37" t="e">
        <f>D28-'Gen Fund'!#REF!</f>
        <v>#REF!</v>
      </c>
      <c r="E29" s="37" t="e">
        <f>E28-'Gen Fund'!#REF!</f>
        <v>#REF!</v>
      </c>
      <c r="F29" s="37" t="e">
        <f>F28-'Gen Fund'!#REF!</f>
        <v>#REF!</v>
      </c>
      <c r="G29" s="37" t="e">
        <f>G28-'Gen Fund'!#REF!</f>
        <v>#REF!</v>
      </c>
      <c r="H29" s="37" t="e">
        <f>H28-'Gen Fund'!#REF!</f>
        <v>#REF!</v>
      </c>
      <c r="I29" s="37" t="e">
        <f>I28-'Gen Fund'!#REF!</f>
        <v>#REF!</v>
      </c>
    </row>
    <row r="31" spans="1:9" ht="18">
      <c r="A31" s="44" t="s">
        <v>120</v>
      </c>
    </row>
    <row r="33" spans="1:9">
      <c r="A33" s="29" t="s">
        <v>106</v>
      </c>
      <c r="C33" s="35" t="e">
        <f>'Ent Fund'!#REF!</f>
        <v>#REF!</v>
      </c>
      <c r="D33" s="35" t="e">
        <f>'Ent Fund'!#REF!</f>
        <v>#REF!</v>
      </c>
      <c r="E33" s="35" t="e">
        <f>'Ent Fund'!#REF!</f>
        <v>#REF!</v>
      </c>
      <c r="F33" s="35" t="e">
        <f>'Ent Fund'!#REF!</f>
        <v>#REF!</v>
      </c>
      <c r="G33" s="35" t="e">
        <f>'Ent Fund'!#REF!</f>
        <v>#REF!</v>
      </c>
      <c r="H33" s="35" t="e">
        <f>'Ent Fund'!#REF!</f>
        <v>#REF!</v>
      </c>
      <c r="I33" s="35" t="e">
        <f>'Ent Fund'!#REF!</f>
        <v>#REF!</v>
      </c>
    </row>
    <row r="34" spans="1:9">
      <c r="A34" s="29"/>
      <c r="C34" s="35"/>
      <c r="D34" s="35"/>
      <c r="E34" s="35"/>
      <c r="F34" s="35"/>
      <c r="G34" s="35"/>
      <c r="H34" s="35"/>
      <c r="I34" s="35"/>
    </row>
    <row r="35" spans="1:9">
      <c r="A35" s="31" t="s">
        <v>104</v>
      </c>
      <c r="C35" s="35"/>
      <c r="D35" s="35"/>
      <c r="E35" s="35"/>
      <c r="F35" s="35"/>
      <c r="G35" s="35"/>
      <c r="H35" s="35"/>
      <c r="I35" s="35"/>
    </row>
    <row r="36" spans="1:9">
      <c r="A36" s="30" t="s">
        <v>110</v>
      </c>
      <c r="C36" s="33" t="e">
        <f>SUM('Ent Fund'!#REF!,'Ent Fund'!#REF!,'Ent Fund'!#REF!)</f>
        <v>#REF!</v>
      </c>
      <c r="D36" s="33" t="e">
        <f>SUM('Ent Fund'!#REF!,'Ent Fund'!#REF!,'Ent Fund'!#REF!)</f>
        <v>#REF!</v>
      </c>
      <c r="E36" s="33" t="e">
        <f>SUM('Ent Fund'!#REF!,'Ent Fund'!#REF!,'Ent Fund'!#REF!)</f>
        <v>#REF!</v>
      </c>
      <c r="F36" s="33" t="e">
        <f>SUM('Ent Fund'!#REF!,'Ent Fund'!#REF!,'Ent Fund'!#REF!)</f>
        <v>#REF!</v>
      </c>
      <c r="G36" s="33" t="e">
        <f>SUM('Ent Fund'!#REF!,'Ent Fund'!#REF!,'Ent Fund'!#REF!)</f>
        <v>#REF!</v>
      </c>
      <c r="H36" s="33" t="e">
        <f>SUM('Ent Fund'!#REF!,'Ent Fund'!#REF!,'Ent Fund'!#REF!)</f>
        <v>#REF!</v>
      </c>
      <c r="I36" s="33" t="e">
        <f>SUM('Ent Fund'!#REF!,'Ent Fund'!#REF!,'Ent Fund'!#REF!)</f>
        <v>#REF!</v>
      </c>
    </row>
    <row r="37" spans="1:9">
      <c r="A37" s="30" t="s">
        <v>299</v>
      </c>
      <c r="C37" s="33" t="e">
        <f>SUM('Ent Fund'!#REF!,'Ent Fund'!#REF!,'Ent Fund'!#REF!,'Ent Fund'!#REF!)</f>
        <v>#REF!</v>
      </c>
      <c r="D37" s="33" t="e">
        <f>SUM('Ent Fund'!#REF!,'Ent Fund'!#REF!,'Ent Fund'!#REF!,'Ent Fund'!#REF!)</f>
        <v>#REF!</v>
      </c>
      <c r="E37" s="33" t="e">
        <f>SUM('Ent Fund'!#REF!,'Ent Fund'!#REF!,'Ent Fund'!#REF!)</f>
        <v>#REF!</v>
      </c>
      <c r="F37" s="33" t="e">
        <f>SUM('Ent Fund'!#REF!,'Ent Fund'!#REF!,'Ent Fund'!#REF!,'Ent Fund'!#REF!)</f>
        <v>#REF!</v>
      </c>
      <c r="G37" s="33" t="e">
        <f>SUM('Ent Fund'!#REF!,'Ent Fund'!#REF!,'Ent Fund'!#REF!,'Ent Fund'!#REF!)</f>
        <v>#REF!</v>
      </c>
      <c r="H37" s="33" t="e">
        <f>SUM('Ent Fund'!#REF!,'Ent Fund'!#REF!,'Ent Fund'!#REF!,'Ent Fund'!#REF!)</f>
        <v>#REF!</v>
      </c>
      <c r="I37" s="33" t="e">
        <f>SUM('Ent Fund'!#REF!,'Ent Fund'!#REF!,'Ent Fund'!#REF!,'Ent Fund'!#REF!)</f>
        <v>#REF!</v>
      </c>
    </row>
    <row r="38" spans="1:9">
      <c r="A38" s="30" t="s">
        <v>116</v>
      </c>
      <c r="C38" s="33" t="e">
        <f>SUM('Ent Fund'!#REF!)</f>
        <v>#REF!</v>
      </c>
      <c r="D38" s="33" t="e">
        <f>SUM('Ent Fund'!#REF!)</f>
        <v>#REF!</v>
      </c>
      <c r="E38" s="33" t="e">
        <f>SUM('Ent Fund'!#REF!)</f>
        <v>#REF!</v>
      </c>
      <c r="F38" s="33" t="e">
        <f>SUM('Ent Fund'!#REF!)</f>
        <v>#REF!</v>
      </c>
      <c r="G38" s="33" t="e">
        <f>SUM('Ent Fund'!#REF!)</f>
        <v>#REF!</v>
      </c>
      <c r="H38" s="33" t="e">
        <f>SUM('Ent Fund'!#REF!)</f>
        <v>#REF!</v>
      </c>
      <c r="I38" s="33" t="e">
        <f>SUM('Ent Fund'!#REF!)</f>
        <v>#REF!</v>
      </c>
    </row>
    <row r="39" spans="1:9">
      <c r="A39" s="30" t="s">
        <v>260</v>
      </c>
      <c r="C39" s="33" t="e">
        <f>SUM('Ent Fund'!#REF!)</f>
        <v>#REF!</v>
      </c>
      <c r="D39" s="33" t="e">
        <f>SUM('Ent Fund'!#REF!)</f>
        <v>#REF!</v>
      </c>
      <c r="E39" s="33" t="e">
        <f>SUM('Ent Fund'!#REF!)</f>
        <v>#REF!</v>
      </c>
      <c r="F39" s="33" t="e">
        <f>SUM('Ent Fund'!#REF!)</f>
        <v>#REF!</v>
      </c>
      <c r="G39" s="33" t="e">
        <f>SUM('Ent Fund'!#REF!)</f>
        <v>#REF!</v>
      </c>
      <c r="H39" s="33" t="e">
        <f>SUM('Ent Fund'!#REF!)</f>
        <v>#REF!</v>
      </c>
      <c r="I39" s="33" t="e">
        <f>SUM('Ent Fund'!#REF!)</f>
        <v>#REF!</v>
      </c>
    </row>
    <row r="40" spans="1:9">
      <c r="A40" s="30" t="s">
        <v>112</v>
      </c>
      <c r="C40" s="33" t="e">
        <f>SUM('Ent Fund'!#REF!,'Ent Fund'!#REF!,'Ent Fund'!#REF!,'Ent Fund'!#REF!)</f>
        <v>#REF!</v>
      </c>
      <c r="D40" s="33" t="e">
        <f>SUM('Ent Fund'!#REF!,'Ent Fund'!#REF!,'Ent Fund'!#REF!,'Ent Fund'!#REF!)</f>
        <v>#REF!</v>
      </c>
      <c r="E40" s="33" t="e">
        <f>SUM('Ent Fund'!#REF!,'Ent Fund'!#REF!,'Ent Fund'!#REF!,'Ent Fund'!#REF!)</f>
        <v>#REF!</v>
      </c>
      <c r="F40" s="33" t="e">
        <f>SUM('Ent Fund'!#REF!,'Ent Fund'!#REF!,'Ent Fund'!#REF!,'Ent Fund'!#REF!)</f>
        <v>#REF!</v>
      </c>
      <c r="G40" s="33" t="e">
        <f>SUM('Ent Fund'!#REF!,'Ent Fund'!#REF!,'Ent Fund'!#REF!,'Ent Fund'!#REF!)</f>
        <v>#REF!</v>
      </c>
      <c r="H40" s="33" t="e">
        <f>SUM('Ent Fund'!#REF!,'Ent Fund'!#REF!,'Ent Fund'!#REF!,'Ent Fund'!#REF!)</f>
        <v>#REF!</v>
      </c>
      <c r="I40" s="33" t="e">
        <f>SUM('Ent Fund'!#REF!,'Ent Fund'!#REF!,'Ent Fund'!#REF!,'Ent Fund'!#REF!)</f>
        <v>#REF!</v>
      </c>
    </row>
    <row r="41" spans="1:9">
      <c r="A41" s="30" t="s">
        <v>74</v>
      </c>
      <c r="C41" s="33" t="e">
        <f>'Ent Fund'!#REF!</f>
        <v>#REF!</v>
      </c>
      <c r="D41" s="33" t="e">
        <f>'Ent Fund'!#REF!</f>
        <v>#REF!</v>
      </c>
      <c r="E41" s="33" t="e">
        <f>'Ent Fund'!#REF!</f>
        <v>#REF!</v>
      </c>
      <c r="F41" s="33">
        <v>0</v>
      </c>
      <c r="G41" s="33">
        <v>0</v>
      </c>
      <c r="H41" s="33">
        <v>0</v>
      </c>
      <c r="I41" s="33">
        <v>0</v>
      </c>
    </row>
    <row r="42" spans="1:9">
      <c r="A42" s="30" t="s">
        <v>72</v>
      </c>
      <c r="C42" s="33" t="e">
        <f>'Ent Fund'!#REF!</f>
        <v>#REF!</v>
      </c>
      <c r="D42" s="33" t="e">
        <f>'Ent Fund'!#REF!</f>
        <v>#REF!</v>
      </c>
      <c r="E42" s="33" t="e">
        <f>'Ent Fund'!#REF!</f>
        <v>#REF!</v>
      </c>
      <c r="F42" s="33">
        <v>0</v>
      </c>
      <c r="G42" s="33">
        <v>0</v>
      </c>
      <c r="H42" s="33">
        <v>0</v>
      </c>
      <c r="I42" s="33">
        <v>0</v>
      </c>
    </row>
    <row r="43" spans="1:9">
      <c r="A43" s="30" t="s">
        <v>111</v>
      </c>
      <c r="C43" s="33" t="e">
        <f>'Ent Fund'!#REF!</f>
        <v>#REF!</v>
      </c>
      <c r="D43" s="33" t="e">
        <f>'Ent Fund'!#REF!</f>
        <v>#REF!</v>
      </c>
      <c r="E43" s="33" t="e">
        <f>'Ent Fund'!#REF!</f>
        <v>#REF!</v>
      </c>
      <c r="F43" s="33" t="e">
        <f>'Ent Fund'!#REF!</f>
        <v>#REF!</v>
      </c>
      <c r="G43" s="33" t="e">
        <f>'Ent Fund'!#REF!</f>
        <v>#REF!</v>
      </c>
      <c r="H43" s="33" t="e">
        <f>'Ent Fund'!#REF!</f>
        <v>#REF!</v>
      </c>
      <c r="I43" s="33" t="e">
        <f>'Ent Fund'!#REF!</f>
        <v>#REF!</v>
      </c>
    </row>
    <row r="44" spans="1:9">
      <c r="A44" s="30" t="s">
        <v>114</v>
      </c>
      <c r="C44" s="33" t="e">
        <f>SUM('Ent Fund'!#REF!,'Ent Fund'!#REF!,'Ent Fund'!#REF!,'Ent Fund'!#REF!,'Ent Fund'!#REF!,'Ent Fund'!#REF!,'Ent Fund'!#REF!)</f>
        <v>#REF!</v>
      </c>
      <c r="D44" s="33" t="e">
        <f>SUM('Ent Fund'!#REF!,'Ent Fund'!#REF!,'Ent Fund'!#REF!,'Ent Fund'!#REF!,'Ent Fund'!#REF!,'Ent Fund'!#REF!,'Ent Fund'!#REF!)</f>
        <v>#REF!</v>
      </c>
      <c r="E44" s="33" t="e">
        <f>SUM('Ent Fund'!#REF!,'Ent Fund'!#REF!,'Ent Fund'!#REF!,'Ent Fund'!#REF!,'Ent Fund'!#REF!,'Ent Fund'!#REF!,'Ent Fund'!#REF!)</f>
        <v>#REF!</v>
      </c>
      <c r="F44" s="33" t="e">
        <f>SUM('Ent Fund'!#REF!,'Ent Fund'!#REF!,'Ent Fund'!#REF!,'Ent Fund'!#REF!,'Ent Fund'!#REF!)</f>
        <v>#REF!</v>
      </c>
      <c r="G44" s="33" t="e">
        <f>SUM('Ent Fund'!#REF!,'Ent Fund'!#REF!,'Ent Fund'!#REF!,'Ent Fund'!#REF!,'Ent Fund'!#REF!)</f>
        <v>#REF!</v>
      </c>
      <c r="H44" s="33" t="e">
        <f>SUM('Ent Fund'!#REF!,'Ent Fund'!#REF!,'Ent Fund'!#REF!,'Ent Fund'!#REF!,'Ent Fund'!#REF!)</f>
        <v>#REF!</v>
      </c>
      <c r="I44" s="33" t="e">
        <f>SUM('Ent Fund'!#REF!,'Ent Fund'!#REF!,'Ent Fund'!#REF!,'Ent Fund'!#REF!,'Ent Fund'!#REF!)</f>
        <v>#REF!</v>
      </c>
    </row>
    <row r="45" spans="1:9">
      <c r="A45" s="32" t="s">
        <v>58</v>
      </c>
      <c r="C45" s="33" t="e">
        <f>'Ent Fund'!#REF!</f>
        <v>#REF!</v>
      </c>
      <c r="D45" s="33" t="e">
        <f>'Ent Fund'!#REF!</f>
        <v>#REF!</v>
      </c>
      <c r="E45" s="33"/>
      <c r="F45" s="33" t="e">
        <f>'Ent Fund'!#REF!</f>
        <v>#REF!</v>
      </c>
      <c r="G45" s="33" t="e">
        <f>'Ent Fund'!#REF!</f>
        <v>#REF!</v>
      </c>
      <c r="H45" s="33" t="e">
        <f>'Ent Fund'!#REF!</f>
        <v>#REF!</v>
      </c>
      <c r="I45" s="33" t="e">
        <f>'Ent Fund'!#REF!</f>
        <v>#REF!</v>
      </c>
    </row>
    <row r="46" spans="1:9">
      <c r="A46" s="32" t="s">
        <v>12</v>
      </c>
      <c r="C46" s="33" t="e">
        <f>'Ent Fund'!#REF!</f>
        <v>#REF!</v>
      </c>
      <c r="D46" s="33" t="e">
        <f>'Ent Fund'!#REF!</f>
        <v>#REF!</v>
      </c>
      <c r="E46" s="33"/>
      <c r="F46" s="33" t="e">
        <f>'Ent Fund'!#REF!</f>
        <v>#REF!</v>
      </c>
      <c r="G46" s="33" t="e">
        <f>'Ent Fund'!#REF!</f>
        <v>#REF!</v>
      </c>
      <c r="H46" s="33" t="e">
        <f>'Ent Fund'!#REF!</f>
        <v>#REF!</v>
      </c>
      <c r="I46" s="33" t="e">
        <f>'Ent Fund'!#REF!</f>
        <v>#REF!</v>
      </c>
    </row>
    <row r="47" spans="1:9">
      <c r="A47" s="32" t="s">
        <v>123</v>
      </c>
      <c r="C47" s="33" t="e">
        <f>'Ent Fund'!#REF!</f>
        <v>#REF!</v>
      </c>
      <c r="D47" s="33" t="e">
        <f>'Ent Fund'!#REF!</f>
        <v>#REF!</v>
      </c>
      <c r="E47" s="33" t="e">
        <f>'Ent Fund'!#REF!</f>
        <v>#REF!</v>
      </c>
      <c r="F47" s="33" t="e">
        <f>'Ent Fund'!#REF!</f>
        <v>#REF!</v>
      </c>
      <c r="G47" s="33" t="e">
        <f>'Ent Fund'!#REF!</f>
        <v>#REF!</v>
      </c>
      <c r="H47" s="33" t="e">
        <f>'Ent Fund'!#REF!</f>
        <v>#REF!</v>
      </c>
      <c r="I47" s="33" t="e">
        <f>'Ent Fund'!#REF!</f>
        <v>#REF!</v>
      </c>
    </row>
    <row r="48" spans="1:9">
      <c r="A48" s="32" t="s">
        <v>295</v>
      </c>
      <c r="C48" s="33" t="e">
        <f>'Ent Fund'!#REF!</f>
        <v>#REF!</v>
      </c>
      <c r="D48" s="33" t="e">
        <f>'Ent Fund'!#REF!</f>
        <v>#REF!</v>
      </c>
      <c r="E48" s="33" t="e">
        <f>'Ent Fund'!#REF!</f>
        <v>#REF!</v>
      </c>
      <c r="F48" s="33" t="e">
        <f>'Ent Fund'!#REF!</f>
        <v>#REF!</v>
      </c>
      <c r="G48" s="33" t="e">
        <f>'Ent Fund'!#REF!</f>
        <v>#REF!</v>
      </c>
      <c r="H48" s="33" t="e">
        <f>'Ent Fund'!#REF!</f>
        <v>#REF!</v>
      </c>
      <c r="I48" s="33" t="e">
        <f>'Ent Fund'!#REF!</f>
        <v>#REF!</v>
      </c>
    </row>
    <row r="49" spans="1:9">
      <c r="A49" s="32" t="s">
        <v>115</v>
      </c>
      <c r="C49" s="33" t="e">
        <f>'Ent Fund'!#REF!</f>
        <v>#REF!</v>
      </c>
      <c r="D49" s="33" t="e">
        <f>'Ent Fund'!#REF!</f>
        <v>#REF!</v>
      </c>
      <c r="E49" s="33" t="e">
        <f>'Ent Fund'!#REF!</f>
        <v>#REF!</v>
      </c>
      <c r="F49" s="33" t="e">
        <f>'Ent Fund'!#REF!</f>
        <v>#REF!</v>
      </c>
      <c r="G49" s="33" t="e">
        <f>'Ent Fund'!#REF!</f>
        <v>#REF!</v>
      </c>
      <c r="H49" s="33" t="e">
        <f>'Ent Fund'!#REF!</f>
        <v>#REF!</v>
      </c>
      <c r="I49" s="33" t="e">
        <f>'Ent Fund'!#REF!</f>
        <v>#REF!</v>
      </c>
    </row>
    <row r="50" spans="1:9">
      <c r="A50" s="39" t="s">
        <v>286</v>
      </c>
      <c r="C50" s="34" t="e">
        <f t="shared" ref="C50:I50" si="4">SUM(C36:C49)</f>
        <v>#REF!</v>
      </c>
      <c r="D50" s="34" t="e">
        <f t="shared" si="4"/>
        <v>#REF!</v>
      </c>
      <c r="E50" s="34" t="e">
        <f t="shared" si="4"/>
        <v>#REF!</v>
      </c>
      <c r="F50" s="34" t="e">
        <f t="shared" si="4"/>
        <v>#REF!</v>
      </c>
      <c r="G50" s="34" t="e">
        <f t="shared" si="4"/>
        <v>#REF!</v>
      </c>
      <c r="H50" s="34" t="e">
        <f t="shared" si="4"/>
        <v>#REF!</v>
      </c>
      <c r="I50" s="34" t="e">
        <f t="shared" si="4"/>
        <v>#REF!</v>
      </c>
    </row>
    <row r="51" spans="1:9">
      <c r="C51" s="33"/>
      <c r="D51" s="33"/>
      <c r="E51" s="33"/>
      <c r="F51" s="33"/>
      <c r="G51" s="33"/>
      <c r="H51" s="33"/>
      <c r="I51" s="33"/>
    </row>
    <row r="52" spans="1:9">
      <c r="A52" s="26" t="s">
        <v>105</v>
      </c>
    </row>
    <row r="53" spans="1:9">
      <c r="A53" s="30" t="s">
        <v>86</v>
      </c>
      <c r="C53" s="33" t="e">
        <f>'Ent Fund'!#REF!</f>
        <v>#REF!</v>
      </c>
      <c r="D53" s="33" t="e">
        <f>'Ent Fund'!#REF!</f>
        <v>#REF!</v>
      </c>
      <c r="E53" s="33" t="e">
        <f>'Ent Fund'!#REF!</f>
        <v>#REF!</v>
      </c>
      <c r="F53" s="33" t="e">
        <f>'Ent Fund'!#REF!</f>
        <v>#REF!</v>
      </c>
      <c r="G53" s="33" t="e">
        <f>'Ent Fund'!#REF!</f>
        <v>#REF!</v>
      </c>
      <c r="H53" s="33" t="e">
        <f>'Ent Fund'!#REF!</f>
        <v>#REF!</v>
      </c>
      <c r="I53" s="33" t="e">
        <f>'Ent Fund'!#REF!</f>
        <v>#REF!</v>
      </c>
    </row>
    <row r="54" spans="1:9">
      <c r="A54" s="32" t="s">
        <v>305</v>
      </c>
      <c r="C54" s="33" t="e">
        <f>'Ent Fund'!#REF!</f>
        <v>#REF!</v>
      </c>
      <c r="D54" s="33" t="e">
        <f>'Ent Fund'!#REF!</f>
        <v>#REF!</v>
      </c>
      <c r="E54" s="33" t="e">
        <f>'Ent Fund'!#REF!</f>
        <v>#REF!</v>
      </c>
      <c r="F54" s="33" t="e">
        <f>'Ent Fund'!#REF!</f>
        <v>#REF!</v>
      </c>
      <c r="G54" s="33" t="e">
        <f>'Ent Fund'!#REF!</f>
        <v>#REF!</v>
      </c>
      <c r="H54" s="33" t="e">
        <f>'Ent Fund'!#REF!</f>
        <v>#REF!</v>
      </c>
      <c r="I54" s="33" t="e">
        <f>'Ent Fund'!#REF!</f>
        <v>#REF!</v>
      </c>
    </row>
    <row r="55" spans="1:9">
      <c r="A55" s="32" t="s">
        <v>291</v>
      </c>
      <c r="C55" s="33" t="e">
        <f>'Ent Fund'!#REF!</f>
        <v>#REF!</v>
      </c>
      <c r="D55" s="33" t="e">
        <f>'Ent Fund'!#REF!</f>
        <v>#REF!</v>
      </c>
      <c r="E55" s="33" t="e">
        <f>'Ent Fund'!#REF!</f>
        <v>#REF!</v>
      </c>
      <c r="F55" s="33" t="e">
        <f>'Ent Fund'!#REF!</f>
        <v>#REF!</v>
      </c>
      <c r="G55" s="33" t="e">
        <f>'Ent Fund'!#REF!</f>
        <v>#REF!</v>
      </c>
      <c r="H55" s="33" t="e">
        <f>'Ent Fund'!#REF!</f>
        <v>#REF!</v>
      </c>
      <c r="I55" s="33" t="e">
        <f>'Ent Fund'!#REF!</f>
        <v>#REF!</v>
      </c>
    </row>
    <row r="56" spans="1:9">
      <c r="A56" s="32" t="s">
        <v>98</v>
      </c>
      <c r="C56" s="33" t="e">
        <f>'Ent Fund'!#REF!</f>
        <v>#REF!</v>
      </c>
      <c r="D56" s="33" t="e">
        <f>'Ent Fund'!#REF!</f>
        <v>#REF!</v>
      </c>
      <c r="E56" s="33" t="e">
        <f>'Ent Fund'!#REF!</f>
        <v>#REF!</v>
      </c>
      <c r="F56" s="33" t="e">
        <f>'Ent Fund'!#REF!</f>
        <v>#REF!</v>
      </c>
      <c r="G56" s="33" t="e">
        <f>'Ent Fund'!#REF!</f>
        <v>#REF!</v>
      </c>
      <c r="H56" s="33" t="e">
        <f>'Ent Fund'!#REF!</f>
        <v>#REF!</v>
      </c>
      <c r="I56" s="33" t="e">
        <f>'Ent Fund'!#REF!</f>
        <v>#REF!</v>
      </c>
    </row>
    <row r="57" spans="1:9">
      <c r="A57" s="32" t="s">
        <v>99</v>
      </c>
      <c r="C57" s="33" t="e">
        <f>'Ent Fund'!#REF!</f>
        <v>#REF!</v>
      </c>
      <c r="D57" s="33" t="e">
        <f>'Ent Fund'!#REF!</f>
        <v>#REF!</v>
      </c>
      <c r="E57" s="33" t="e">
        <f>'Ent Fund'!#REF!</f>
        <v>#REF!</v>
      </c>
      <c r="F57" s="33" t="e">
        <f>'Ent Fund'!#REF!</f>
        <v>#REF!</v>
      </c>
      <c r="G57" s="33" t="e">
        <f>'Ent Fund'!#REF!</f>
        <v>#REF!</v>
      </c>
      <c r="H57" s="33" t="e">
        <f>'Ent Fund'!#REF!</f>
        <v>#REF!</v>
      </c>
      <c r="I57" s="33" t="e">
        <f>'Ent Fund'!#REF!</f>
        <v>#REF!</v>
      </c>
    </row>
    <row r="58" spans="1:9">
      <c r="A58" s="32" t="s">
        <v>101</v>
      </c>
      <c r="C58" s="33" t="e">
        <f>'Ent Fund'!#REF!</f>
        <v>#REF!</v>
      </c>
      <c r="D58" s="33" t="e">
        <f>'Ent Fund'!#REF!</f>
        <v>#REF!</v>
      </c>
      <c r="E58" s="33" t="e">
        <f>'Ent Fund'!#REF!</f>
        <v>#REF!</v>
      </c>
      <c r="F58" s="33" t="e">
        <f>'Ent Fund'!#REF!</f>
        <v>#REF!</v>
      </c>
      <c r="G58" s="33" t="e">
        <f>'Ent Fund'!#REF!</f>
        <v>#REF!</v>
      </c>
      <c r="H58" s="33" t="e">
        <f>'Ent Fund'!#REF!</f>
        <v>#REF!</v>
      </c>
      <c r="I58" s="33" t="e">
        <f>'Ent Fund'!#REF!</f>
        <v>#REF!</v>
      </c>
    </row>
    <row r="59" spans="1:9">
      <c r="A59" s="32" t="s">
        <v>330</v>
      </c>
      <c r="C59" s="33" t="e">
        <f>'Ent Fund'!#REF!</f>
        <v>#REF!</v>
      </c>
      <c r="D59" s="33" t="e">
        <f>'Ent Fund'!#REF!</f>
        <v>#REF!</v>
      </c>
      <c r="E59" s="33" t="e">
        <f>'Ent Fund'!#REF!</f>
        <v>#REF!</v>
      </c>
      <c r="F59" s="33" t="e">
        <f>'Ent Fund'!#REF!</f>
        <v>#REF!</v>
      </c>
      <c r="G59" s="33" t="e">
        <f>'Ent Fund'!#REF!</f>
        <v>#REF!</v>
      </c>
      <c r="H59" s="33" t="e">
        <f>'Ent Fund'!#REF!</f>
        <v>#REF!</v>
      </c>
      <c r="I59" s="33" t="e">
        <f>'Ent Fund'!#REF!</f>
        <v>#REF!</v>
      </c>
    </row>
    <row r="60" spans="1:9">
      <c r="A60" s="40" t="s">
        <v>266</v>
      </c>
      <c r="C60" s="34" t="e">
        <f t="shared" ref="C60:I60" si="5">SUM(C53:C59)</f>
        <v>#REF!</v>
      </c>
      <c r="D60" s="34" t="e">
        <f t="shared" si="5"/>
        <v>#REF!</v>
      </c>
      <c r="E60" s="34" t="e">
        <f t="shared" si="5"/>
        <v>#REF!</v>
      </c>
      <c r="F60" s="34" t="e">
        <f t="shared" si="5"/>
        <v>#REF!</v>
      </c>
      <c r="G60" s="34" t="e">
        <f t="shared" si="5"/>
        <v>#REF!</v>
      </c>
      <c r="H60" s="34" t="e">
        <f t="shared" si="5"/>
        <v>#REF!</v>
      </c>
      <c r="I60" s="34" t="e">
        <f t="shared" si="5"/>
        <v>#REF!</v>
      </c>
    </row>
    <row r="62" spans="1:9">
      <c r="A62" s="2" t="s">
        <v>113</v>
      </c>
      <c r="C62" s="36" t="e">
        <f t="shared" ref="C62:I62" si="6">C50-C60</f>
        <v>#REF!</v>
      </c>
      <c r="D62" s="36" t="e">
        <f t="shared" si="6"/>
        <v>#REF!</v>
      </c>
      <c r="E62" s="36" t="e">
        <f t="shared" si="6"/>
        <v>#REF!</v>
      </c>
      <c r="F62" s="36" t="e">
        <f t="shared" si="6"/>
        <v>#REF!</v>
      </c>
      <c r="G62" s="36" t="e">
        <f t="shared" si="6"/>
        <v>#REF!</v>
      </c>
      <c r="H62" s="36" t="e">
        <f t="shared" si="6"/>
        <v>#REF!</v>
      </c>
      <c r="I62" s="36" t="e">
        <f t="shared" si="6"/>
        <v>#REF!</v>
      </c>
    </row>
    <row r="64" spans="1:9" ht="13.5" thickBot="1">
      <c r="A64" s="2" t="s">
        <v>108</v>
      </c>
      <c r="C64" s="43" t="e">
        <f t="shared" ref="C64:I64" si="7">C33+C62</f>
        <v>#REF!</v>
      </c>
      <c r="D64" s="43" t="e">
        <f t="shared" si="7"/>
        <v>#REF!</v>
      </c>
      <c r="E64" s="43" t="e">
        <f t="shared" si="7"/>
        <v>#REF!</v>
      </c>
      <c r="F64" s="43" t="e">
        <f t="shared" si="7"/>
        <v>#REF!</v>
      </c>
      <c r="G64" s="43" t="e">
        <f t="shared" si="7"/>
        <v>#REF!</v>
      </c>
      <c r="H64" s="43" t="e">
        <f t="shared" si="7"/>
        <v>#REF!</v>
      </c>
      <c r="I64" s="43" t="e">
        <f t="shared" si="7"/>
        <v>#REF!</v>
      </c>
    </row>
    <row r="65" spans="1:9" ht="13.5" thickTop="1">
      <c r="C65" s="37" t="e">
        <f>C64-'Ent Fund'!#REF!</f>
        <v>#REF!</v>
      </c>
      <c r="D65" s="37" t="e">
        <f>D64-'Ent Fund'!#REF!</f>
        <v>#REF!</v>
      </c>
      <c r="E65" s="37" t="e">
        <f>E64-'Ent Fund'!#REF!</f>
        <v>#REF!</v>
      </c>
      <c r="F65" s="37" t="e">
        <f>F64-'Ent Fund'!#REF!</f>
        <v>#REF!</v>
      </c>
      <c r="G65" s="37" t="e">
        <f>G64-'Ent Fund'!#REF!</f>
        <v>#REF!</v>
      </c>
      <c r="H65" s="37" t="e">
        <f>H64-'Ent Fund'!#REF!</f>
        <v>#REF!</v>
      </c>
      <c r="I65" s="37" t="e">
        <f>I64-'Ent Fund'!#REF!</f>
        <v>#REF!</v>
      </c>
    </row>
    <row r="66" spans="1:9" ht="18">
      <c r="A66" s="44" t="s">
        <v>121</v>
      </c>
    </row>
    <row r="68" spans="1:9">
      <c r="A68" s="29" t="s">
        <v>106</v>
      </c>
      <c r="C68" s="35" t="e">
        <f>'Debt Service'!#REF!</f>
        <v>#REF!</v>
      </c>
      <c r="D68" s="35" t="e">
        <f>'Debt Service'!#REF!</f>
        <v>#REF!</v>
      </c>
      <c r="E68" s="35" t="e">
        <f>'Debt Service'!#REF!</f>
        <v>#REF!</v>
      </c>
      <c r="F68" s="35" t="e">
        <f>'Debt Service'!#REF!</f>
        <v>#REF!</v>
      </c>
      <c r="G68" s="35" t="e">
        <f>'Debt Service'!#REF!</f>
        <v>#REF!</v>
      </c>
      <c r="H68" s="35" t="e">
        <f>'Debt Service'!#REF!</f>
        <v>#REF!</v>
      </c>
      <c r="I68" s="35" t="e">
        <f>'Debt Service'!#REF!</f>
        <v>#REF!</v>
      </c>
    </row>
    <row r="69" spans="1:9">
      <c r="A69" s="29"/>
      <c r="C69" s="35"/>
      <c r="D69" s="35"/>
      <c r="E69" s="35"/>
      <c r="F69" s="35"/>
      <c r="G69" s="35"/>
      <c r="H69" s="35"/>
      <c r="I69" s="35"/>
    </row>
    <row r="70" spans="1:9">
      <c r="A70" s="31" t="s">
        <v>104</v>
      </c>
    </row>
    <row r="71" spans="1:9">
      <c r="A71" s="30" t="s">
        <v>75</v>
      </c>
      <c r="C71" s="33" t="e">
        <f>'Debt Service'!#REF!+'Debt Service'!#REF!</f>
        <v>#REF!</v>
      </c>
      <c r="D71" s="33" t="e">
        <f>'Debt Service'!#REF!+'Debt Service'!#REF!</f>
        <v>#REF!</v>
      </c>
      <c r="E71" s="33" t="e">
        <f>'Debt Service'!#REF!+'Debt Service'!#REF!</f>
        <v>#REF!</v>
      </c>
      <c r="F71" s="33" t="e">
        <f>'Debt Service'!#REF!+'Debt Service'!#REF!</f>
        <v>#REF!</v>
      </c>
      <c r="G71" s="33" t="e">
        <f>'Debt Service'!#REF!+'Debt Service'!#REF!</f>
        <v>#REF!</v>
      </c>
      <c r="H71" s="33" t="e">
        <f>'Debt Service'!#REF!+'Debt Service'!#REF!</f>
        <v>#REF!</v>
      </c>
      <c r="I71" s="33" t="e">
        <f>'Debt Service'!#REF!+'Debt Service'!#REF!</f>
        <v>#REF!</v>
      </c>
    </row>
    <row r="72" spans="1:9">
      <c r="A72" s="32" t="s">
        <v>111</v>
      </c>
      <c r="C72" s="33" t="e">
        <f>'Debt Service'!#REF!</f>
        <v>#REF!</v>
      </c>
      <c r="D72" s="33" t="e">
        <f>'Debt Service'!#REF!</f>
        <v>#REF!</v>
      </c>
      <c r="E72" s="33"/>
      <c r="F72" s="33" t="e">
        <f>'Debt Service'!#REF!</f>
        <v>#REF!</v>
      </c>
      <c r="G72" s="33" t="e">
        <f>'Debt Service'!#REF!</f>
        <v>#REF!</v>
      </c>
      <c r="H72" s="33" t="e">
        <f>'Debt Service'!#REF!</f>
        <v>#REF!</v>
      </c>
      <c r="I72" s="33" t="e">
        <f>'Debt Service'!#REF!</f>
        <v>#REF!</v>
      </c>
    </row>
    <row r="73" spans="1:9">
      <c r="A73" s="30" t="s">
        <v>289</v>
      </c>
      <c r="C73" s="33" t="e">
        <f>'Debt Service'!#REF!</f>
        <v>#REF!</v>
      </c>
      <c r="D73" s="33" t="e">
        <f>'Debt Service'!#REF!</f>
        <v>#REF!</v>
      </c>
      <c r="E73" s="33" t="e">
        <f>'Debt Service'!#REF!</f>
        <v>#REF!</v>
      </c>
      <c r="F73" s="33" t="e">
        <f>'Debt Service'!#REF!</f>
        <v>#REF!</v>
      </c>
      <c r="G73" s="33" t="e">
        <f>'Debt Service'!#REF!</f>
        <v>#REF!</v>
      </c>
      <c r="H73" s="33" t="e">
        <f>'Debt Service'!#REF!</f>
        <v>#REF!</v>
      </c>
      <c r="I73" s="33" t="e">
        <f>'Debt Service'!#REF!</f>
        <v>#REF!</v>
      </c>
    </row>
    <row r="74" spans="1:9">
      <c r="A74" s="32" t="s">
        <v>28</v>
      </c>
      <c r="C74" s="33" t="e">
        <f>'Debt Service'!#REF!</f>
        <v>#REF!</v>
      </c>
      <c r="D74" s="33" t="e">
        <f>'Debt Service'!#REF!</f>
        <v>#REF!</v>
      </c>
      <c r="E74" s="33" t="e">
        <f>'Debt Service'!#REF!</f>
        <v>#REF!</v>
      </c>
      <c r="F74" s="33" t="e">
        <f>'Debt Service'!#REF!</f>
        <v>#REF!</v>
      </c>
      <c r="G74" s="33" t="e">
        <f>'Debt Service'!#REF!</f>
        <v>#REF!</v>
      </c>
      <c r="H74" s="33" t="e">
        <f>'Debt Service'!#REF!</f>
        <v>#REF!</v>
      </c>
      <c r="I74" s="33" t="e">
        <f>'Debt Service'!#REF!</f>
        <v>#REF!</v>
      </c>
    </row>
    <row r="75" spans="1:9">
      <c r="C75" s="33" t="e">
        <f>'Debt Service'!#REF!</f>
        <v>#REF!</v>
      </c>
      <c r="D75" s="33" t="e">
        <f>'Debt Service'!#REF!</f>
        <v>#REF!</v>
      </c>
      <c r="E75" s="33" t="e">
        <f>'Debt Service'!#REF!</f>
        <v>#REF!</v>
      </c>
      <c r="F75" s="33" t="e">
        <f>'Debt Service'!#REF!</f>
        <v>#REF!</v>
      </c>
      <c r="G75" s="33" t="e">
        <f>'Debt Service'!#REF!</f>
        <v>#REF!</v>
      </c>
      <c r="H75" s="33" t="e">
        <f>'Debt Service'!#REF!</f>
        <v>#REF!</v>
      </c>
      <c r="I75" s="33" t="e">
        <f>'Debt Service'!#REF!</f>
        <v>#REF!</v>
      </c>
    </row>
    <row r="76" spans="1:9">
      <c r="A76" s="39" t="s">
        <v>286</v>
      </c>
      <c r="C76" s="34" t="e">
        <f t="shared" ref="C76:I76" si="8">SUM(C71:C75)</f>
        <v>#REF!</v>
      </c>
      <c r="D76" s="34" t="e">
        <f t="shared" si="8"/>
        <v>#REF!</v>
      </c>
      <c r="E76" s="34" t="e">
        <f t="shared" si="8"/>
        <v>#REF!</v>
      </c>
      <c r="F76" s="34" t="e">
        <f t="shared" si="8"/>
        <v>#REF!</v>
      </c>
      <c r="G76" s="34" t="e">
        <f t="shared" si="8"/>
        <v>#REF!</v>
      </c>
      <c r="H76" s="34" t="e">
        <f t="shared" si="8"/>
        <v>#REF!</v>
      </c>
      <c r="I76" s="34" t="e">
        <f t="shared" si="8"/>
        <v>#REF!</v>
      </c>
    </row>
    <row r="79" spans="1:9">
      <c r="A79" s="26" t="s">
        <v>105</v>
      </c>
      <c r="C79" s="33"/>
      <c r="D79" s="33"/>
      <c r="E79" s="33"/>
      <c r="F79" s="33"/>
      <c r="G79" s="33"/>
      <c r="H79" s="33"/>
      <c r="I79" s="33"/>
    </row>
    <row r="80" spans="1:9" s="3" customFormat="1" hidden="1">
      <c r="A80" s="32" t="s">
        <v>184</v>
      </c>
      <c r="C80" s="4" t="e">
        <f>'Debt Service'!#REF!</f>
        <v>#REF!</v>
      </c>
      <c r="D80" s="4" t="e">
        <f>'Debt Service'!#REF!</f>
        <v>#REF!</v>
      </c>
      <c r="E80" s="4" t="e">
        <f>'Debt Service'!#REF!</f>
        <v>#REF!</v>
      </c>
      <c r="F80" s="4" t="e">
        <f>'Debt Service'!#REF!</f>
        <v>#REF!</v>
      </c>
      <c r="G80" s="4" t="e">
        <f>'Debt Service'!#REF!</f>
        <v>#REF!</v>
      </c>
      <c r="H80" s="4" t="e">
        <f>'Debt Service'!#REF!</f>
        <v>#REF!</v>
      </c>
      <c r="I80" s="4" t="e">
        <f>'Debt Service'!#REF!</f>
        <v>#REF!</v>
      </c>
    </row>
    <row r="81" spans="1:9" s="3" customFormat="1" hidden="1">
      <c r="A81" s="32" t="s">
        <v>185</v>
      </c>
      <c r="C81" s="4" t="e">
        <f>'Debt Service'!#REF!</f>
        <v>#REF!</v>
      </c>
      <c r="D81" s="4" t="e">
        <f>'Debt Service'!#REF!</f>
        <v>#REF!</v>
      </c>
      <c r="E81" s="4" t="e">
        <f>'Debt Service'!#REF!</f>
        <v>#REF!</v>
      </c>
      <c r="F81" s="4" t="e">
        <f>'Debt Service'!#REF!</f>
        <v>#REF!</v>
      </c>
      <c r="G81" s="4" t="e">
        <f>'Debt Service'!#REF!</f>
        <v>#REF!</v>
      </c>
      <c r="H81" s="4" t="e">
        <f>'Debt Service'!#REF!</f>
        <v>#REF!</v>
      </c>
      <c r="I81" s="4" t="e">
        <f>'Debt Service'!#REF!</f>
        <v>#REF!</v>
      </c>
    </row>
    <row r="82" spans="1:9" s="3" customFormat="1">
      <c r="A82" s="61" t="s">
        <v>53</v>
      </c>
      <c r="C82" s="4" t="e">
        <f>'Debt Service'!#REF!</f>
        <v>#REF!</v>
      </c>
      <c r="D82" s="4" t="e">
        <f>'Debt Service'!#REF!</f>
        <v>#REF!</v>
      </c>
      <c r="E82" s="4" t="e">
        <f>'Debt Service'!#REF!</f>
        <v>#REF!</v>
      </c>
      <c r="F82" s="4" t="e">
        <f>'Debt Service'!#REF!</f>
        <v>#REF!</v>
      </c>
      <c r="G82" s="4" t="e">
        <f>'Debt Service'!#REF!</f>
        <v>#REF!</v>
      </c>
      <c r="H82" s="4" t="e">
        <f>'Debt Service'!#REF!</f>
        <v>#REF!</v>
      </c>
      <c r="I82" s="4" t="e">
        <f>'Debt Service'!#REF!</f>
        <v>#REF!</v>
      </c>
    </row>
    <row r="83" spans="1:9" s="3" customFormat="1">
      <c r="A83" s="61" t="s">
        <v>54</v>
      </c>
      <c r="C83" s="4" t="e">
        <f>'Debt Service'!#REF!</f>
        <v>#REF!</v>
      </c>
      <c r="D83" s="4" t="e">
        <f>'Debt Service'!#REF!</f>
        <v>#REF!</v>
      </c>
      <c r="E83" s="4" t="e">
        <f>'Debt Service'!#REF!</f>
        <v>#REF!</v>
      </c>
      <c r="F83" s="4" t="e">
        <f>'Debt Service'!#REF!</f>
        <v>#REF!</v>
      </c>
      <c r="G83" s="4" t="e">
        <f>'Debt Service'!#REF!</f>
        <v>#REF!</v>
      </c>
      <c r="H83" s="4" t="e">
        <f>'Debt Service'!#REF!</f>
        <v>#REF!</v>
      </c>
      <c r="I83" s="4" t="e">
        <f>'Debt Service'!#REF!</f>
        <v>#REF!</v>
      </c>
    </row>
    <row r="84" spans="1:9" s="3" customFormat="1">
      <c r="A84" s="40" t="s">
        <v>266</v>
      </c>
      <c r="C84" s="45" t="e">
        <f t="shared" ref="C84:I84" si="9">SUM(C80:C83)</f>
        <v>#REF!</v>
      </c>
      <c r="D84" s="45" t="e">
        <f t="shared" si="9"/>
        <v>#REF!</v>
      </c>
      <c r="E84" s="45" t="e">
        <f t="shared" si="9"/>
        <v>#REF!</v>
      </c>
      <c r="F84" s="45" t="e">
        <f t="shared" si="9"/>
        <v>#REF!</v>
      </c>
      <c r="G84" s="45" t="e">
        <f t="shared" si="9"/>
        <v>#REF!</v>
      </c>
      <c r="H84" s="45" t="e">
        <f t="shared" si="9"/>
        <v>#REF!</v>
      </c>
      <c r="I84" s="45" t="e">
        <f t="shared" si="9"/>
        <v>#REF!</v>
      </c>
    </row>
    <row r="86" spans="1:9">
      <c r="A86" s="2" t="s">
        <v>113</v>
      </c>
      <c r="C86" s="36" t="e">
        <f t="shared" ref="C86:I86" si="10">C76-C84</f>
        <v>#REF!</v>
      </c>
      <c r="D86" s="36" t="e">
        <f t="shared" si="10"/>
        <v>#REF!</v>
      </c>
      <c r="E86" s="36" t="e">
        <f t="shared" si="10"/>
        <v>#REF!</v>
      </c>
      <c r="F86" s="36" t="e">
        <f t="shared" si="10"/>
        <v>#REF!</v>
      </c>
      <c r="G86" s="36" t="e">
        <f t="shared" si="10"/>
        <v>#REF!</v>
      </c>
      <c r="H86" s="36" t="e">
        <f t="shared" si="10"/>
        <v>#REF!</v>
      </c>
      <c r="I86" s="36" t="e">
        <f t="shared" si="10"/>
        <v>#REF!</v>
      </c>
    </row>
    <row r="88" spans="1:9" ht="13.5" thickBot="1">
      <c r="A88" s="2" t="s">
        <v>108</v>
      </c>
      <c r="C88" s="43" t="e">
        <f t="shared" ref="C88:I88" si="11">C68+C86</f>
        <v>#REF!</v>
      </c>
      <c r="D88" s="43" t="e">
        <f t="shared" si="11"/>
        <v>#REF!</v>
      </c>
      <c r="E88" s="43" t="e">
        <f t="shared" si="11"/>
        <v>#REF!</v>
      </c>
      <c r="F88" s="43" t="e">
        <f t="shared" si="11"/>
        <v>#REF!</v>
      </c>
      <c r="G88" s="43" t="e">
        <f t="shared" si="11"/>
        <v>#REF!</v>
      </c>
      <c r="H88" s="43" t="e">
        <f t="shared" si="11"/>
        <v>#REF!</v>
      </c>
      <c r="I88" s="43" t="e">
        <f t="shared" si="11"/>
        <v>#REF!</v>
      </c>
    </row>
    <row r="89" spans="1:9" ht="13.5" thickTop="1">
      <c r="C89" s="37" t="e">
        <f>C88-'Debt Service'!#REF!</f>
        <v>#REF!</v>
      </c>
      <c r="D89" s="37" t="e">
        <f>D88-'Debt Service'!#REF!</f>
        <v>#REF!</v>
      </c>
      <c r="E89" s="37" t="e">
        <f>E88-'Debt Service'!#REF!</f>
        <v>#REF!</v>
      </c>
      <c r="F89" s="37" t="e">
        <f>F88-'Debt Service'!#REF!</f>
        <v>#REF!</v>
      </c>
      <c r="G89" s="37" t="e">
        <f>G88-'Debt Service'!#REF!</f>
        <v>#REF!</v>
      </c>
      <c r="H89" s="37" t="e">
        <f>H88-'Debt Service'!#REF!</f>
        <v>#REF!</v>
      </c>
      <c r="I89" s="37" t="e">
        <f>I88-'Debt Service'!#REF!</f>
        <v>#REF!</v>
      </c>
    </row>
    <row r="91" spans="1:9" ht="18">
      <c r="A91" s="44" t="s">
        <v>122</v>
      </c>
    </row>
    <row r="93" spans="1:9">
      <c r="A93" s="29" t="s">
        <v>106</v>
      </c>
      <c r="C93" s="35" t="e">
        <f>#REF!</f>
        <v>#REF!</v>
      </c>
      <c r="D93" s="35" t="e">
        <f>#REF!</f>
        <v>#REF!</v>
      </c>
      <c r="E93" s="35" t="e">
        <f>#REF!</f>
        <v>#REF!</v>
      </c>
      <c r="F93" s="35" t="e">
        <f>#REF!</f>
        <v>#REF!</v>
      </c>
      <c r="G93" s="35" t="e">
        <f>#REF!</f>
        <v>#REF!</v>
      </c>
      <c r="H93" s="35" t="e">
        <f>#REF!</f>
        <v>#REF!</v>
      </c>
      <c r="I93" s="35" t="e">
        <f>#REF!</f>
        <v>#REF!</v>
      </c>
    </row>
    <row r="94" spans="1:9">
      <c r="A94" s="29"/>
      <c r="C94" s="35"/>
      <c r="D94" s="35"/>
      <c r="E94" s="35"/>
      <c r="F94" s="35"/>
      <c r="G94" s="35"/>
      <c r="H94" s="35"/>
      <c r="I94" s="35"/>
    </row>
    <row r="95" spans="1:9">
      <c r="A95" s="31" t="s">
        <v>104</v>
      </c>
    </row>
    <row r="96" spans="1:9">
      <c r="A96" s="7" t="s">
        <v>235</v>
      </c>
      <c r="C96" s="33" t="e">
        <f>#REF!</f>
        <v>#REF!</v>
      </c>
      <c r="D96" s="33" t="e">
        <f>#REF!</f>
        <v>#REF!</v>
      </c>
      <c r="F96" s="33" t="e">
        <f>#REF!</f>
        <v>#REF!</v>
      </c>
      <c r="G96" s="33" t="e">
        <f>#REF!</f>
        <v>#REF!</v>
      </c>
      <c r="H96" s="33" t="e">
        <f>#REF!</f>
        <v>#REF!</v>
      </c>
      <c r="I96" s="33" t="e">
        <f>#REF!</f>
        <v>#REF!</v>
      </c>
    </row>
    <row r="97" spans="1:256">
      <c r="A97" s="3" t="s">
        <v>81</v>
      </c>
      <c r="C97" s="33" t="e">
        <f>#REF!</f>
        <v>#REF!</v>
      </c>
      <c r="D97" s="33" t="e">
        <f>#REF!</f>
        <v>#REF!</v>
      </c>
      <c r="E97" s="33" t="e">
        <f>#REF!</f>
        <v>#REF!</v>
      </c>
      <c r="F97" s="33" t="e">
        <f>#REF!</f>
        <v>#REF!</v>
      </c>
      <c r="G97" s="33" t="e">
        <f>#REF!</f>
        <v>#REF!</v>
      </c>
      <c r="H97" s="33" t="e">
        <f>#REF!</f>
        <v>#REF!</v>
      </c>
      <c r="I97" s="33" t="e">
        <f>#REF!</f>
        <v>#REF!</v>
      </c>
    </row>
    <row r="98" spans="1:256">
      <c r="A98" s="3" t="s">
        <v>82</v>
      </c>
      <c r="C98" s="33" t="e">
        <f>#REF!</f>
        <v>#REF!</v>
      </c>
      <c r="D98" s="33" t="e">
        <f>#REF!</f>
        <v>#REF!</v>
      </c>
      <c r="E98" s="33" t="e">
        <f>#REF!</f>
        <v>#REF!</v>
      </c>
      <c r="F98" s="33" t="e">
        <f>#REF!</f>
        <v>#REF!</v>
      </c>
      <c r="G98" s="33" t="e">
        <f>#REF!</f>
        <v>#REF!</v>
      </c>
      <c r="H98" s="33" t="e">
        <f>#REF!</f>
        <v>#REF!</v>
      </c>
      <c r="I98" s="33" t="e">
        <f>#REF!</f>
        <v>#REF!</v>
      </c>
    </row>
    <row r="99" spans="1:256">
      <c r="A99" s="3" t="s">
        <v>49</v>
      </c>
      <c r="C99" s="33" t="e">
        <f>#REF!</f>
        <v>#REF!</v>
      </c>
      <c r="D99" s="33" t="e">
        <f>#REF!</f>
        <v>#REF!</v>
      </c>
      <c r="E99" s="33"/>
      <c r="F99" s="33" t="e">
        <f>#REF!</f>
        <v>#REF!</v>
      </c>
      <c r="G99" s="33" t="e">
        <f>#REF!</f>
        <v>#REF!</v>
      </c>
      <c r="H99" s="33" t="e">
        <f>#REF!</f>
        <v>#REF!</v>
      </c>
      <c r="I99" s="33" t="e">
        <f>#REF!</f>
        <v>#REF!</v>
      </c>
    </row>
    <row r="100" spans="1:256">
      <c r="A100" t="s">
        <v>117</v>
      </c>
      <c r="C100" s="33" t="e">
        <f>#REF!</f>
        <v>#REF!</v>
      </c>
      <c r="D100" s="33" t="e">
        <f>#REF!</f>
        <v>#REF!</v>
      </c>
      <c r="E100" s="33" t="e">
        <f>#REF!</f>
        <v>#REF!</v>
      </c>
      <c r="F100" s="33" t="e">
        <f>#REF!</f>
        <v>#REF!</v>
      </c>
      <c r="G100" s="33" t="e">
        <f>#REF!</f>
        <v>#REF!</v>
      </c>
      <c r="H100" s="33" t="e">
        <f>#REF!</f>
        <v>#REF!</v>
      </c>
      <c r="I100" s="33" t="e">
        <f>#REF!</f>
        <v>#REF!</v>
      </c>
    </row>
    <row r="101" spans="1:256">
      <c r="A101"/>
      <c r="C101" s="33"/>
      <c r="D101" s="33"/>
      <c r="E101" s="33"/>
      <c r="F101" s="33"/>
      <c r="G101" s="33"/>
      <c r="H101" s="33"/>
      <c r="I101" s="33"/>
    </row>
    <row r="102" spans="1:256">
      <c r="A102" s="39" t="s">
        <v>286</v>
      </c>
      <c r="C102" s="34" t="e">
        <f t="shared" ref="C102:I102" si="12">SUM(C95:C100)</f>
        <v>#REF!</v>
      </c>
      <c r="D102" s="34" t="e">
        <f t="shared" si="12"/>
        <v>#REF!</v>
      </c>
      <c r="E102" s="34" t="e">
        <f t="shared" si="12"/>
        <v>#REF!</v>
      </c>
      <c r="F102" s="34" t="e">
        <f t="shared" si="12"/>
        <v>#REF!</v>
      </c>
      <c r="G102" s="34" t="e">
        <f t="shared" si="12"/>
        <v>#REF!</v>
      </c>
      <c r="H102" s="34" t="e">
        <f t="shared" si="12"/>
        <v>#REF!</v>
      </c>
      <c r="I102" s="34" t="e">
        <f t="shared" si="12"/>
        <v>#REF!</v>
      </c>
    </row>
    <row r="104" spans="1:256">
      <c r="A104" s="26" t="s">
        <v>105</v>
      </c>
    </row>
    <row r="105" spans="1:256">
      <c r="A105" s="32" t="s">
        <v>172</v>
      </c>
      <c r="C105" s="4" t="e">
        <f>#REF!</f>
        <v>#REF!</v>
      </c>
      <c r="D105" s="4" t="e">
        <f>#REF!</f>
        <v>#REF!</v>
      </c>
      <c r="E105" s="4" t="e">
        <f>#REF!</f>
        <v>#REF!</v>
      </c>
      <c r="F105" s="4" t="e">
        <f>#REF!</f>
        <v>#REF!</v>
      </c>
      <c r="G105" s="4" t="e">
        <f>#REF!</f>
        <v>#REF!</v>
      </c>
      <c r="H105" s="4" t="e">
        <f>#REF!</f>
        <v>#REF!</v>
      </c>
      <c r="I105" s="4" t="e">
        <f>#REF!</f>
        <v>#REF!</v>
      </c>
    </row>
    <row r="106" spans="1:256">
      <c r="A106" s="61" t="s">
        <v>84</v>
      </c>
      <c r="C106" s="4" t="e">
        <f>#REF!</f>
        <v>#REF!</v>
      </c>
      <c r="D106" s="4" t="e">
        <f>#REF!</f>
        <v>#REF!</v>
      </c>
      <c r="E106" s="4"/>
      <c r="F106" s="4" t="e">
        <f>#REF!</f>
        <v>#REF!</v>
      </c>
      <c r="G106" s="4" t="e">
        <f>#REF!</f>
        <v>#REF!</v>
      </c>
      <c r="H106" s="4" t="e">
        <f>#REF!</f>
        <v>#REF!</v>
      </c>
      <c r="I106" s="4" t="e">
        <f>#REF!</f>
        <v>#REF!</v>
      </c>
      <c r="IV106" s="4"/>
    </row>
    <row r="107" spans="1:256">
      <c r="A107" s="61" t="s">
        <v>52</v>
      </c>
      <c r="C107" s="4" t="e">
        <f>SUM(#REF!)+#REF!</f>
        <v>#REF!</v>
      </c>
      <c r="D107" s="4" t="e">
        <f>SUM(#REF!)+#REF!</f>
        <v>#REF!</v>
      </c>
      <c r="E107" s="4"/>
      <c r="F107" s="4" t="e">
        <f>SUM(#REF!)+#REF!</f>
        <v>#REF!</v>
      </c>
      <c r="G107" s="4" t="e">
        <f>SUM(#REF!)+#REF!</f>
        <v>#REF!</v>
      </c>
      <c r="H107" s="4" t="e">
        <f>SUM(#REF!)+#REF!</f>
        <v>#REF!</v>
      </c>
      <c r="I107" s="4" t="e">
        <f>SUM(#REF!)+#REF!</f>
        <v>#REF!</v>
      </c>
      <c r="IV107" s="4"/>
    </row>
    <row r="108" spans="1:256" s="3" customFormat="1">
      <c r="A108" s="61" t="s">
        <v>50</v>
      </c>
      <c r="C108" s="4" t="e">
        <f>SUM(#REF!)+#REF!</f>
        <v>#REF!</v>
      </c>
      <c r="D108" s="4" t="e">
        <f>SUM(#REF!)+#REF!</f>
        <v>#REF!</v>
      </c>
      <c r="E108" s="4"/>
      <c r="F108" s="4" t="e">
        <f>SUM(#REF!)+#REF!</f>
        <v>#REF!</v>
      </c>
      <c r="G108" s="4" t="e">
        <f>SUM(#REF!)+#REF!</f>
        <v>#REF!</v>
      </c>
      <c r="H108" s="4" t="e">
        <f>SUM(#REF!)+#REF!</f>
        <v>#REF!</v>
      </c>
      <c r="I108" s="4" t="e">
        <f>SUM(#REF!)+#REF!</f>
        <v>#REF!</v>
      </c>
    </row>
    <row r="109" spans="1:256" s="3" customFormat="1">
      <c r="A109" s="61" t="s">
        <v>51</v>
      </c>
      <c r="C109" s="4" t="e">
        <f>SUM(#REF!)</f>
        <v>#REF!</v>
      </c>
      <c r="D109" s="4" t="e">
        <f>SUM(#REF!)</f>
        <v>#REF!</v>
      </c>
      <c r="E109" s="4"/>
      <c r="F109" s="4" t="e">
        <f>SUM(#REF!)</f>
        <v>#REF!</v>
      </c>
      <c r="G109" s="4" t="e">
        <f>SUM(#REF!)</f>
        <v>#REF!</v>
      </c>
      <c r="H109" s="4" t="e">
        <f>SUM(#REF!)</f>
        <v>#REF!</v>
      </c>
      <c r="I109" s="4" t="e">
        <f>SUM(#REF!)</f>
        <v>#REF!</v>
      </c>
    </row>
    <row r="110" spans="1:256" s="3" customFormat="1">
      <c r="A110" s="61" t="s">
        <v>55</v>
      </c>
      <c r="C110" s="4" t="e">
        <f>SUM(#REF!)</f>
        <v>#REF!</v>
      </c>
      <c r="D110" s="4" t="e">
        <f>SUM(#REF!)</f>
        <v>#REF!</v>
      </c>
      <c r="E110" s="4"/>
      <c r="F110" s="4" t="e">
        <f>SUM(#REF!)</f>
        <v>#REF!</v>
      </c>
      <c r="G110" s="4" t="e">
        <f>SUM(#REF!)</f>
        <v>#REF!</v>
      </c>
      <c r="H110" s="4" t="e">
        <f>SUM(#REF!)</f>
        <v>#REF!</v>
      </c>
      <c r="I110" s="4" t="e">
        <f>SUM(#REF!)</f>
        <v>#REF!</v>
      </c>
    </row>
    <row r="111" spans="1:256" s="3" customFormat="1">
      <c r="A111" s="32" t="s">
        <v>253</v>
      </c>
      <c r="C111" s="4" t="e">
        <f>#REF!</f>
        <v>#REF!</v>
      </c>
      <c r="D111" s="4" t="e">
        <f>#REF!</f>
        <v>#REF!</v>
      </c>
      <c r="E111" s="4" t="e">
        <f>#REF!</f>
        <v>#REF!</v>
      </c>
      <c r="F111" s="4" t="e">
        <f>#REF!</f>
        <v>#REF!</v>
      </c>
      <c r="G111" s="4" t="e">
        <f>#REF!</f>
        <v>#REF!</v>
      </c>
      <c r="H111" s="4" t="e">
        <f>#REF!</f>
        <v>#REF!</v>
      </c>
      <c r="I111" s="4" t="e">
        <f>#REF!</f>
        <v>#REF!</v>
      </c>
    </row>
    <row r="112" spans="1:256" s="3" customFormat="1">
      <c r="A112" s="32" t="s">
        <v>103</v>
      </c>
      <c r="C112" s="4" t="e">
        <f>#REF!</f>
        <v>#REF!</v>
      </c>
      <c r="D112" s="4" t="e">
        <f>#REF!</f>
        <v>#REF!</v>
      </c>
      <c r="E112" s="4" t="e">
        <f>#REF!</f>
        <v>#REF!</v>
      </c>
      <c r="F112" s="4" t="e">
        <f>#REF!</f>
        <v>#REF!</v>
      </c>
      <c r="G112" s="4" t="e">
        <f>#REF!</f>
        <v>#REF!</v>
      </c>
      <c r="H112" s="4" t="e">
        <f>#REF!</f>
        <v>#REF!</v>
      </c>
      <c r="I112" s="4" t="e">
        <f>#REF!</f>
        <v>#REF!</v>
      </c>
    </row>
    <row r="113" spans="1:9" s="3" customFormat="1">
      <c r="A113" s="32" t="s">
        <v>29</v>
      </c>
      <c r="C113" s="4" t="e">
        <f>#REF!</f>
        <v>#REF!</v>
      </c>
      <c r="D113" s="4" t="e">
        <f>#REF!</f>
        <v>#REF!</v>
      </c>
      <c r="E113" s="4"/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</row>
    <row r="114" spans="1:9" s="3" customFormat="1">
      <c r="A114" s="32"/>
      <c r="C114" s="4"/>
      <c r="D114" s="4"/>
      <c r="E114" s="4" t="e">
        <f>#REF!</f>
        <v>#REF!</v>
      </c>
      <c r="F114" s="4"/>
      <c r="G114" s="4"/>
      <c r="H114" s="4"/>
      <c r="I114" s="4"/>
    </row>
    <row r="115" spans="1:9">
      <c r="A115" s="40" t="s">
        <v>266</v>
      </c>
      <c r="C115" s="34" t="e">
        <f t="shared" ref="C115:H115" si="13">SUM(C104:C114)</f>
        <v>#REF!</v>
      </c>
      <c r="D115" s="34" t="e">
        <f t="shared" si="13"/>
        <v>#REF!</v>
      </c>
      <c r="E115" s="34" t="e">
        <f t="shared" si="13"/>
        <v>#REF!</v>
      </c>
      <c r="F115" s="34" t="e">
        <f t="shared" si="13"/>
        <v>#REF!</v>
      </c>
      <c r="G115" s="34" t="e">
        <f t="shared" si="13"/>
        <v>#REF!</v>
      </c>
      <c r="H115" s="34" t="e">
        <f t="shared" si="13"/>
        <v>#REF!</v>
      </c>
      <c r="I115" s="34" t="e">
        <f>SUM(I104:I114)</f>
        <v>#REF!</v>
      </c>
    </row>
    <row r="118" spans="1:9">
      <c r="A118" s="2" t="s">
        <v>113</v>
      </c>
      <c r="C118" s="36" t="e">
        <f t="shared" ref="C118:I118" si="14">C102-C115</f>
        <v>#REF!</v>
      </c>
      <c r="D118" s="36" t="e">
        <f t="shared" si="14"/>
        <v>#REF!</v>
      </c>
      <c r="E118" s="36" t="e">
        <f t="shared" si="14"/>
        <v>#REF!</v>
      </c>
      <c r="F118" s="36" t="e">
        <f t="shared" si="14"/>
        <v>#REF!</v>
      </c>
      <c r="G118" s="36" t="e">
        <f t="shared" si="14"/>
        <v>#REF!</v>
      </c>
      <c r="H118" s="36" t="e">
        <f t="shared" si="14"/>
        <v>#REF!</v>
      </c>
      <c r="I118" s="36" t="e">
        <f t="shared" si="14"/>
        <v>#REF!</v>
      </c>
    </row>
    <row r="120" spans="1:9" ht="13.5" thickBot="1">
      <c r="A120" s="2" t="s">
        <v>108</v>
      </c>
      <c r="C120" s="43" t="e">
        <f t="shared" ref="C120:I120" si="15">C93+C118</f>
        <v>#REF!</v>
      </c>
      <c r="D120" s="43" t="e">
        <f t="shared" si="15"/>
        <v>#REF!</v>
      </c>
      <c r="E120" s="43" t="e">
        <f t="shared" si="15"/>
        <v>#REF!</v>
      </c>
      <c r="F120" s="43" t="e">
        <f t="shared" si="15"/>
        <v>#REF!</v>
      </c>
      <c r="G120" s="43" t="e">
        <f t="shared" si="15"/>
        <v>#REF!</v>
      </c>
      <c r="H120" s="43" t="e">
        <f t="shared" si="15"/>
        <v>#REF!</v>
      </c>
      <c r="I120" s="43" t="e">
        <f t="shared" si="15"/>
        <v>#REF!</v>
      </c>
    </row>
    <row r="121" spans="1:9" ht="13.5" thickTop="1">
      <c r="C121" s="46" t="e">
        <f>C120-#REF!</f>
        <v>#REF!</v>
      </c>
      <c r="D121" s="46" t="e">
        <f>D120-#REF!</f>
        <v>#REF!</v>
      </c>
      <c r="E121" s="46" t="e">
        <f>E120-#REF!</f>
        <v>#REF!</v>
      </c>
      <c r="F121" s="46" t="e">
        <f>F120-#REF!</f>
        <v>#REF!</v>
      </c>
      <c r="G121" s="46" t="e">
        <f>G120-#REF!</f>
        <v>#REF!</v>
      </c>
      <c r="H121" s="46" t="e">
        <f>H120-#REF!</f>
        <v>#REF!</v>
      </c>
      <c r="I121" s="46" t="e">
        <f>I120-#REF!</f>
        <v>#REF!</v>
      </c>
    </row>
  </sheetData>
  <mergeCells count="3">
    <mergeCell ref="A1:G1"/>
    <mergeCell ref="A2:G2"/>
    <mergeCell ref="A3:G3"/>
  </mergeCells>
  <phoneticPr fontId="23" type="noConversion"/>
  <pageMargins left="0.37" right="0.35" top="0.44" bottom="0.54" header="0.21" footer="0.26"/>
  <headerFooter alignWithMargins="0">
    <oddFooter>&amp;L&amp;Z&amp;F&amp;F&amp;C&amp;P&amp;R&amp;D &amp;T</oddFooter>
  </headerFooter>
  <rowBreaks count="3" manualBreakCount="3">
    <brk id="29" max="16383" man="1"/>
    <brk id="65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opLeftCell="I15" zoomScale="130" zoomScaleNormal="130" workbookViewId="0">
      <selection activeCell="L41" sqref="L41"/>
    </sheetView>
  </sheetViews>
  <sheetFormatPr defaultColWidth="9.140625" defaultRowHeight="12.75"/>
  <cols>
    <col min="1" max="1" width="0.42578125" style="3" customWidth="1"/>
    <col min="2" max="2" width="43.7109375" style="3" customWidth="1"/>
    <col min="3" max="4" width="12.28515625" style="3" hidden="1" customWidth="1"/>
    <col min="5" max="5" width="12.5703125" style="22" customWidth="1"/>
    <col min="6" max="8" width="12.85546875" style="22" customWidth="1"/>
    <col min="9" max="11" width="13.140625" style="3" customWidth="1"/>
    <col min="12" max="12" width="15.140625" style="3" customWidth="1"/>
    <col min="13" max="13" width="9.140625" style="3"/>
    <col min="14" max="14" width="10.7109375" style="3" bestFit="1" customWidth="1"/>
    <col min="15" max="16" width="9.140625" style="3"/>
    <col min="17" max="17" width="10.7109375" style="3" bestFit="1" customWidth="1"/>
    <col min="18" max="18" width="11.85546875" style="3" bestFit="1" customWidth="1"/>
    <col min="19" max="16384" width="9.140625" style="3"/>
  </cols>
  <sheetData>
    <row r="1" spans="1:13" ht="42" customHeight="1">
      <c r="A1" s="282" t="s">
        <v>345</v>
      </c>
      <c r="B1" s="283"/>
      <c r="C1" s="283"/>
      <c r="D1" s="283"/>
      <c r="E1" s="283"/>
      <c r="F1" s="284"/>
      <c r="G1" s="281"/>
      <c r="H1" s="281"/>
      <c r="I1" s="281"/>
      <c r="J1" s="281"/>
      <c r="K1" s="281"/>
      <c r="L1" s="281"/>
    </row>
    <row r="2" spans="1:13" ht="18">
      <c r="A2" s="285" t="s">
        <v>269</v>
      </c>
      <c r="B2" s="286"/>
      <c r="C2" s="286"/>
      <c r="D2" s="286"/>
      <c r="E2" s="286"/>
      <c r="F2" s="281"/>
      <c r="G2" s="281"/>
      <c r="H2" s="281"/>
      <c r="I2" s="281"/>
      <c r="J2" s="281"/>
      <c r="K2" s="281"/>
      <c r="L2" s="281"/>
    </row>
    <row r="3" spans="1:13" ht="15" customHeight="1">
      <c r="A3" s="287" t="s">
        <v>448</v>
      </c>
      <c r="B3" s="288"/>
      <c r="C3" s="288"/>
      <c r="D3" s="288"/>
      <c r="E3" s="288"/>
      <c r="F3" s="281"/>
      <c r="G3" s="281"/>
      <c r="H3" s="281"/>
      <c r="I3" s="281"/>
      <c r="J3" s="281"/>
      <c r="K3" s="281"/>
      <c r="L3" s="281"/>
    </row>
    <row r="4" spans="1:13" hidden="1">
      <c r="A4" s="279" t="s">
        <v>346</v>
      </c>
      <c r="B4" s="280"/>
      <c r="C4" s="280"/>
      <c r="D4" s="280"/>
      <c r="E4" s="280"/>
      <c r="F4" s="281"/>
      <c r="G4"/>
      <c r="H4"/>
    </row>
    <row r="5" spans="1:13" ht="9" customHeight="1">
      <c r="A5" s="1"/>
      <c r="B5" s="22"/>
      <c r="C5" s="22"/>
      <c r="D5" s="22"/>
      <c r="F5"/>
      <c r="G5"/>
      <c r="H5"/>
    </row>
    <row r="6" spans="1:13">
      <c r="A6" s="1"/>
      <c r="B6" s="22"/>
      <c r="C6" s="22"/>
      <c r="D6" s="22"/>
      <c r="F6"/>
      <c r="G6" s="177" t="s">
        <v>346</v>
      </c>
      <c r="H6" s="177"/>
    </row>
    <row r="7" spans="1:13" ht="13.5" thickBot="1">
      <c r="G7" s="177" t="s">
        <v>411</v>
      </c>
      <c r="H7" s="177"/>
    </row>
    <row r="8" spans="1:13" s="1" customFormat="1" ht="13.5" thickTop="1">
      <c r="C8" s="82" t="s">
        <v>360</v>
      </c>
      <c r="D8" s="82">
        <v>2023</v>
      </c>
      <c r="E8" s="14" t="s">
        <v>436</v>
      </c>
      <c r="F8" s="14" t="s">
        <v>360</v>
      </c>
      <c r="G8" s="14" t="s">
        <v>413</v>
      </c>
      <c r="H8" s="14" t="s">
        <v>265</v>
      </c>
      <c r="I8" s="14" t="s">
        <v>360</v>
      </c>
      <c r="J8" s="14" t="s">
        <v>414</v>
      </c>
      <c r="K8" s="14" t="s">
        <v>424</v>
      </c>
      <c r="L8" s="144" t="s">
        <v>417</v>
      </c>
      <c r="M8" s="3"/>
    </row>
    <row r="9" spans="1:13" s="1" customFormat="1" ht="26.25" thickBot="1">
      <c r="C9" s="83" t="s">
        <v>380</v>
      </c>
      <c r="D9" s="83" t="s">
        <v>406</v>
      </c>
      <c r="E9" s="20">
        <v>2023</v>
      </c>
      <c r="F9" s="20" t="s">
        <v>390</v>
      </c>
      <c r="G9" s="20" t="s">
        <v>390</v>
      </c>
      <c r="H9" s="20">
        <v>2024</v>
      </c>
      <c r="I9" s="83">
        <v>2025</v>
      </c>
      <c r="J9" s="187">
        <v>45869</v>
      </c>
      <c r="K9" s="20">
        <v>2025</v>
      </c>
      <c r="L9" s="145" t="s">
        <v>428</v>
      </c>
      <c r="M9" s="3"/>
    </row>
    <row r="10" spans="1:13" ht="3" customHeight="1" thickTop="1">
      <c r="E10" s="3"/>
      <c r="F10" s="3" t="s">
        <v>346</v>
      </c>
      <c r="G10" s="3" t="s">
        <v>346</v>
      </c>
      <c r="H10" s="3"/>
      <c r="L10" s="200"/>
    </row>
    <row r="11" spans="1:13" ht="3" customHeight="1">
      <c r="C11" s="80"/>
      <c r="D11" s="84"/>
      <c r="E11" s="6"/>
      <c r="F11" s="6"/>
      <c r="G11" s="6"/>
      <c r="H11" s="6"/>
      <c r="I11" s="6"/>
      <c r="J11" s="6"/>
      <c r="K11" s="6"/>
      <c r="L11" s="201"/>
    </row>
    <row r="12" spans="1:13" ht="12.75" customHeight="1">
      <c r="B12" s="2" t="s">
        <v>267</v>
      </c>
      <c r="C12" s="80"/>
      <c r="D12" s="84"/>
      <c r="E12" s="6"/>
      <c r="F12" s="6"/>
      <c r="G12" s="6"/>
      <c r="H12" s="6"/>
      <c r="I12" s="6"/>
      <c r="J12" s="6"/>
      <c r="K12" s="6"/>
      <c r="L12" s="201"/>
    </row>
    <row r="13" spans="1:13" ht="6" customHeight="1">
      <c r="A13"/>
      <c r="B13"/>
      <c r="C13" s="5"/>
      <c r="D13"/>
      <c r="E13" s="84"/>
      <c r="F13" s="84"/>
      <c r="G13" s="84"/>
      <c r="H13" s="84"/>
      <c r="I13" s="84"/>
      <c r="J13" s="84"/>
      <c r="K13" s="84"/>
      <c r="L13" s="202"/>
    </row>
    <row r="14" spans="1:13" ht="12.75" customHeight="1">
      <c r="A14" t="s">
        <v>230</v>
      </c>
      <c r="B14" t="s">
        <v>0</v>
      </c>
      <c r="C14" s="84">
        <v>530871</v>
      </c>
      <c r="D14" s="84">
        <v>516004</v>
      </c>
      <c r="E14" s="100">
        <v>527855</v>
      </c>
      <c r="F14" s="100">
        <v>846696</v>
      </c>
      <c r="G14" s="100">
        <v>772141</v>
      </c>
      <c r="H14" s="100">
        <v>756835</v>
      </c>
      <c r="I14" s="100">
        <v>772627</v>
      </c>
      <c r="J14" s="100">
        <v>700595</v>
      </c>
      <c r="K14" s="100">
        <v>772627</v>
      </c>
      <c r="L14" s="162">
        <f>'Mill Levy'!J21</f>
        <v>879039.15499999991</v>
      </c>
    </row>
    <row r="15" spans="1:13" ht="12.75" customHeight="1">
      <c r="A15"/>
      <c r="B15" s="22" t="s">
        <v>442</v>
      </c>
      <c r="C15" s="84"/>
      <c r="D15" s="84"/>
      <c r="E15" s="101">
        <v>0</v>
      </c>
      <c r="F15" s="101">
        <v>0</v>
      </c>
      <c r="G15" s="101">
        <v>0</v>
      </c>
      <c r="H15" s="101">
        <v>50579</v>
      </c>
      <c r="I15" s="101">
        <v>0</v>
      </c>
      <c r="J15" s="101">
        <v>0</v>
      </c>
      <c r="K15" s="101">
        <v>0</v>
      </c>
      <c r="L15" s="203">
        <v>0</v>
      </c>
    </row>
    <row r="16" spans="1:13">
      <c r="A16" t="s">
        <v>231</v>
      </c>
      <c r="B16" t="s">
        <v>232</v>
      </c>
      <c r="C16" s="52">
        <v>6000</v>
      </c>
      <c r="D16" s="52">
        <v>1764</v>
      </c>
      <c r="E16" s="101">
        <v>2742</v>
      </c>
      <c r="F16" s="101">
        <v>1700</v>
      </c>
      <c r="G16" s="101">
        <v>1700</v>
      </c>
      <c r="H16" s="101">
        <v>8489</v>
      </c>
      <c r="I16" s="101">
        <v>1800</v>
      </c>
      <c r="J16" s="101">
        <v>2301</v>
      </c>
      <c r="K16" s="101">
        <v>2500</v>
      </c>
      <c r="L16" s="203">
        <v>3000</v>
      </c>
    </row>
    <row r="17" spans="1:19">
      <c r="A17" t="s">
        <v>233</v>
      </c>
      <c r="B17" t="s">
        <v>288</v>
      </c>
      <c r="C17" s="52">
        <v>85000</v>
      </c>
      <c r="D17" s="52">
        <v>67504</v>
      </c>
      <c r="E17" s="101">
        <v>85300</v>
      </c>
      <c r="F17" s="101">
        <v>90000</v>
      </c>
      <c r="G17" s="101">
        <v>90000</v>
      </c>
      <c r="H17" s="101">
        <v>111778</v>
      </c>
      <c r="I17" s="101">
        <v>90000</v>
      </c>
      <c r="J17" s="101">
        <v>72441</v>
      </c>
      <c r="K17" s="101">
        <v>105000</v>
      </c>
      <c r="L17" s="203">
        <v>100000</v>
      </c>
    </row>
    <row r="18" spans="1:19" ht="12.75" customHeight="1">
      <c r="A18" t="s">
        <v>234</v>
      </c>
      <c r="B18" t="s">
        <v>366</v>
      </c>
      <c r="C18" s="52">
        <v>10000</v>
      </c>
      <c r="D18" s="52">
        <v>37541</v>
      </c>
      <c r="E18" s="101">
        <v>58451</v>
      </c>
      <c r="F18" s="101">
        <v>30000</v>
      </c>
      <c r="G18" s="101">
        <v>30000</v>
      </c>
      <c r="H18" s="101">
        <v>79797</v>
      </c>
      <c r="I18" s="101">
        <v>50000</v>
      </c>
      <c r="J18" s="101">
        <v>48235</v>
      </c>
      <c r="K18" s="101">
        <v>70000</v>
      </c>
      <c r="L18" s="203">
        <v>70000</v>
      </c>
    </row>
    <row r="19" spans="1:19" ht="3" customHeight="1">
      <c r="A19"/>
      <c r="B19"/>
      <c r="C19" s="84"/>
      <c r="D19" s="84"/>
      <c r="E19" s="100"/>
      <c r="F19" s="100"/>
      <c r="G19" s="100"/>
      <c r="H19" s="100"/>
      <c r="I19" s="100"/>
      <c r="J19" s="100"/>
      <c r="K19" s="100"/>
      <c r="L19" s="162"/>
    </row>
    <row r="20" spans="1:19" ht="14.1" customHeight="1">
      <c r="A20"/>
      <c r="B20" s="5" t="s">
        <v>286</v>
      </c>
      <c r="C20" s="87">
        <f>SUM(C13:C19)</f>
        <v>631871</v>
      </c>
      <c r="D20" s="87">
        <f>SUM(D13:D18)</f>
        <v>622813</v>
      </c>
      <c r="E20" s="87">
        <f>SUM(E13:E19)</f>
        <v>674348</v>
      </c>
      <c r="F20" s="87">
        <f>SUM(F13:F19)</f>
        <v>968396</v>
      </c>
      <c r="G20" s="87">
        <f>SUM(G13:G19)</f>
        <v>893841</v>
      </c>
      <c r="H20" s="87">
        <f>SUM(H13:H19)</f>
        <v>1007478</v>
      </c>
      <c r="I20" s="87">
        <f>SUM(I14:I19)</f>
        <v>914427</v>
      </c>
      <c r="J20" s="87">
        <f>SUM(J14:J19)</f>
        <v>823572</v>
      </c>
      <c r="K20" s="87">
        <f>SUM(K14:K19)</f>
        <v>950127</v>
      </c>
      <c r="L20" s="247">
        <f>SUM(L14:L19)</f>
        <v>1052039.1549999998</v>
      </c>
    </row>
    <row r="21" spans="1:19" ht="3" customHeight="1">
      <c r="A21"/>
      <c r="B21"/>
      <c r="C21" s="88"/>
      <c r="D21" s="88"/>
      <c r="E21" s="88"/>
      <c r="F21" s="88"/>
      <c r="G21" s="88"/>
      <c r="H21" s="88"/>
      <c r="I21" s="88"/>
      <c r="J21" s="88"/>
      <c r="K21" s="88"/>
      <c r="L21" s="161"/>
    </row>
    <row r="22" spans="1:19" ht="15.95" customHeight="1">
      <c r="A22"/>
      <c r="B22" s="1"/>
      <c r="C22" s="88"/>
      <c r="D22" s="88"/>
      <c r="E22" s="88"/>
      <c r="F22" s="88"/>
      <c r="G22" s="88"/>
      <c r="H22" s="88"/>
      <c r="I22" s="88"/>
      <c r="J22" s="88"/>
      <c r="K22" s="88"/>
      <c r="L22" s="161"/>
    </row>
    <row r="23" spans="1:19" ht="12.75" customHeight="1">
      <c r="A23"/>
      <c r="B23" s="5" t="s">
        <v>268</v>
      </c>
      <c r="C23" s="100"/>
      <c r="D23" s="100"/>
      <c r="E23" s="84"/>
      <c r="F23" s="84"/>
      <c r="G23" s="84"/>
      <c r="H23" s="84"/>
      <c r="I23" s="84"/>
      <c r="J23" s="84"/>
      <c r="K23" s="84"/>
      <c r="L23" s="143"/>
    </row>
    <row r="24" spans="1:19" ht="3" customHeight="1">
      <c r="A24"/>
      <c r="B24"/>
      <c r="C24" s="84"/>
      <c r="D24" s="84"/>
      <c r="E24" s="84"/>
      <c r="F24" s="84"/>
      <c r="G24" s="84"/>
      <c r="H24" s="84"/>
      <c r="I24" s="84"/>
      <c r="J24" s="84"/>
      <c r="K24" s="84"/>
      <c r="L24" s="143"/>
    </row>
    <row r="25" spans="1:19" ht="12.75" customHeight="1">
      <c r="A25" t="s">
        <v>237</v>
      </c>
      <c r="B25" t="s">
        <v>238</v>
      </c>
      <c r="C25" s="84">
        <v>20000</v>
      </c>
      <c r="D25" s="84">
        <v>16622</v>
      </c>
      <c r="E25" s="100">
        <v>17292</v>
      </c>
      <c r="F25" s="100">
        <v>26000</v>
      </c>
      <c r="G25" s="100">
        <v>26000</v>
      </c>
      <c r="H25" s="100">
        <v>28694</v>
      </c>
      <c r="I25" s="100">
        <v>26000</v>
      </c>
      <c r="J25" s="100">
        <v>23093</v>
      </c>
      <c r="K25" s="100">
        <v>26000</v>
      </c>
      <c r="L25" s="162">
        <v>30000</v>
      </c>
      <c r="M25" s="22"/>
    </row>
    <row r="26" spans="1:19" ht="12.75" customHeight="1">
      <c r="A26" t="s">
        <v>245</v>
      </c>
      <c r="B26" t="s">
        <v>246</v>
      </c>
      <c r="C26" s="52">
        <v>11000</v>
      </c>
      <c r="D26" s="52">
        <v>0</v>
      </c>
      <c r="E26" s="101">
        <v>11000</v>
      </c>
      <c r="F26" s="101">
        <v>12000</v>
      </c>
      <c r="G26" s="101">
        <v>12000</v>
      </c>
      <c r="H26" s="101">
        <v>11300</v>
      </c>
      <c r="I26" s="101">
        <v>15000</v>
      </c>
      <c r="J26" s="101"/>
      <c r="K26" s="101">
        <v>15000</v>
      </c>
      <c r="L26" s="203">
        <v>15000</v>
      </c>
      <c r="M26" s="22"/>
    </row>
    <row r="27" spans="1:19" ht="12.75" customHeight="1">
      <c r="A27" t="s">
        <v>247</v>
      </c>
      <c r="B27" t="s">
        <v>290</v>
      </c>
      <c r="C27" s="52">
        <v>80000</v>
      </c>
      <c r="D27" s="52">
        <v>25243</v>
      </c>
      <c r="E27" s="101">
        <v>45627</v>
      </c>
      <c r="F27" s="101">
        <v>65000</v>
      </c>
      <c r="G27" s="101">
        <v>65000</v>
      </c>
      <c r="H27" s="101">
        <v>43645</v>
      </c>
      <c r="I27" s="101">
        <v>60000</v>
      </c>
      <c r="J27" s="101">
        <v>15794</v>
      </c>
      <c r="K27" s="101">
        <v>60000</v>
      </c>
      <c r="L27" s="203">
        <v>60000</v>
      </c>
    </row>
    <row r="28" spans="1:19" ht="12.75" customHeight="1">
      <c r="A28" t="s">
        <v>248</v>
      </c>
      <c r="B28" t="s">
        <v>359</v>
      </c>
      <c r="C28" s="52">
        <v>294519</v>
      </c>
      <c r="D28" s="52">
        <v>209162</v>
      </c>
      <c r="E28" s="101">
        <v>269491</v>
      </c>
      <c r="F28" s="101">
        <v>330000</v>
      </c>
      <c r="G28" s="101">
        <v>330000</v>
      </c>
      <c r="H28" s="101">
        <v>277668</v>
      </c>
      <c r="I28" s="101">
        <v>339000</v>
      </c>
      <c r="J28" s="101">
        <v>164969</v>
      </c>
      <c r="K28" s="101">
        <v>339000</v>
      </c>
      <c r="L28" s="203">
        <f>K28*1.03</f>
        <v>349170</v>
      </c>
      <c r="M28" s="22"/>
      <c r="N28" s="237"/>
      <c r="P28" s="52"/>
      <c r="Q28" s="150"/>
      <c r="R28" s="16"/>
      <c r="S28" s="16"/>
    </row>
    <row r="29" spans="1:19" ht="12.75" customHeight="1">
      <c r="A29">
        <v>45000</v>
      </c>
      <c r="B29" s="22" t="s">
        <v>62</v>
      </c>
      <c r="C29" s="52">
        <v>43000</v>
      </c>
      <c r="D29" s="52">
        <v>26746</v>
      </c>
      <c r="E29" s="101">
        <v>43881</v>
      </c>
      <c r="F29" s="101">
        <v>43000</v>
      </c>
      <c r="G29" s="101">
        <v>43000</v>
      </c>
      <c r="H29" s="101">
        <v>52957</v>
      </c>
      <c r="I29" s="101">
        <v>45000</v>
      </c>
      <c r="J29" s="101">
        <v>16588</v>
      </c>
      <c r="K29" s="101">
        <v>45000</v>
      </c>
      <c r="L29" s="203">
        <v>45000</v>
      </c>
      <c r="M29" s="22"/>
      <c r="N29" s="238"/>
    </row>
    <row r="30" spans="1:19" ht="12.75" customHeight="1">
      <c r="A30" t="s">
        <v>249</v>
      </c>
      <c r="B30" t="s">
        <v>250</v>
      </c>
      <c r="C30" s="52">
        <v>18000</v>
      </c>
      <c r="D30" s="52">
        <v>13785</v>
      </c>
      <c r="E30" s="101">
        <v>13770</v>
      </c>
      <c r="F30" s="101">
        <v>0</v>
      </c>
      <c r="G30" s="101">
        <v>0</v>
      </c>
      <c r="H30" s="101">
        <v>0</v>
      </c>
      <c r="I30" s="101">
        <v>15000</v>
      </c>
      <c r="J30" s="101">
        <v>10323</v>
      </c>
      <c r="K30" s="101">
        <v>15000</v>
      </c>
      <c r="L30" s="203">
        <v>0</v>
      </c>
      <c r="M30" s="22"/>
      <c r="Q30" s="149"/>
      <c r="S30" s="151"/>
    </row>
    <row r="31" spans="1:19" ht="12.75" customHeight="1">
      <c r="A31" t="s">
        <v>251</v>
      </c>
      <c r="B31" t="s">
        <v>223</v>
      </c>
      <c r="C31" s="52">
        <v>12000</v>
      </c>
      <c r="D31" s="52">
        <v>6432</v>
      </c>
      <c r="E31" s="101">
        <v>8015</v>
      </c>
      <c r="F31" s="101">
        <v>12000</v>
      </c>
      <c r="G31" s="101">
        <v>12000</v>
      </c>
      <c r="H31" s="101">
        <v>6673</v>
      </c>
      <c r="I31" s="101">
        <v>12000</v>
      </c>
      <c r="J31" s="101">
        <v>4213</v>
      </c>
      <c r="K31" s="101">
        <v>12000</v>
      </c>
      <c r="L31" s="203">
        <v>12000</v>
      </c>
    </row>
    <row r="32" spans="1:19" ht="12.75" customHeight="1">
      <c r="A32"/>
      <c r="B32" t="s">
        <v>349</v>
      </c>
      <c r="C32" s="52">
        <v>300000</v>
      </c>
      <c r="D32" s="52">
        <v>0</v>
      </c>
      <c r="E32" s="101">
        <v>529</v>
      </c>
      <c r="F32" s="101">
        <v>380000</v>
      </c>
      <c r="G32" s="101">
        <v>380000</v>
      </c>
      <c r="H32" s="101">
        <v>44251</v>
      </c>
      <c r="I32" s="101">
        <v>120000</v>
      </c>
      <c r="J32" s="101">
        <v>33738</v>
      </c>
      <c r="K32" s="101">
        <v>120000</v>
      </c>
      <c r="L32" s="203">
        <v>0</v>
      </c>
      <c r="M32" s="189"/>
      <c r="N32" s="4"/>
      <c r="S32" s="16"/>
    </row>
    <row r="33" spans="1:12" ht="15.95" customHeight="1">
      <c r="A33"/>
      <c r="B33" s="1" t="s">
        <v>266</v>
      </c>
      <c r="C33" s="87">
        <f t="shared" ref="C33:H33" si="0">SUM(C24:C32)</f>
        <v>778519</v>
      </c>
      <c r="D33" s="87">
        <f t="shared" si="0"/>
        <v>297990</v>
      </c>
      <c r="E33" s="87">
        <f t="shared" si="0"/>
        <v>409605</v>
      </c>
      <c r="F33" s="87">
        <f t="shared" si="0"/>
        <v>868000</v>
      </c>
      <c r="G33" s="87">
        <f t="shared" si="0"/>
        <v>868000</v>
      </c>
      <c r="H33" s="87">
        <f t="shared" si="0"/>
        <v>465188</v>
      </c>
      <c r="I33" s="87">
        <f>SUM(I25:I32)</f>
        <v>632000</v>
      </c>
      <c r="J33" s="87">
        <f>SUM(J25:J32)</f>
        <v>268718</v>
      </c>
      <c r="K33" s="87">
        <f>SUM(K25:K32)</f>
        <v>632000</v>
      </c>
      <c r="L33" s="241">
        <f>SUM(L25:L32)</f>
        <v>511170</v>
      </c>
    </row>
    <row r="34" spans="1:12" ht="21" customHeight="1">
      <c r="A34"/>
      <c r="B34" s="2" t="s">
        <v>1</v>
      </c>
      <c r="C34" s="87">
        <f t="shared" ref="C34:J34" si="1">C20-C33</f>
        <v>-146648</v>
      </c>
      <c r="D34" s="87">
        <f t="shared" si="1"/>
        <v>324823</v>
      </c>
      <c r="E34" s="87">
        <f t="shared" si="1"/>
        <v>264743</v>
      </c>
      <c r="F34" s="87">
        <f t="shared" si="1"/>
        <v>100396</v>
      </c>
      <c r="G34" s="87">
        <f t="shared" si="1"/>
        <v>25841</v>
      </c>
      <c r="H34" s="87">
        <f t="shared" si="1"/>
        <v>542290</v>
      </c>
      <c r="I34" s="87">
        <f t="shared" si="1"/>
        <v>282427</v>
      </c>
      <c r="J34" s="87">
        <f t="shared" si="1"/>
        <v>554854</v>
      </c>
      <c r="K34" s="87">
        <f t="shared" ref="K34:L34" si="2">K20-K33</f>
        <v>318127</v>
      </c>
      <c r="L34" s="241">
        <f t="shared" si="2"/>
        <v>540869.1549999998</v>
      </c>
    </row>
    <row r="35" spans="1:12" ht="12.75" customHeight="1">
      <c r="B35" s="1"/>
      <c r="C35" s="84"/>
      <c r="D35" s="84"/>
      <c r="E35" s="84"/>
      <c r="F35" s="84"/>
      <c r="G35" s="84"/>
      <c r="H35" s="84"/>
      <c r="I35" s="84"/>
      <c r="J35" s="84"/>
      <c r="K35" s="84"/>
      <c r="L35" s="143"/>
    </row>
    <row r="36" spans="1:12" ht="12.75" customHeight="1">
      <c r="B36" s="5" t="s">
        <v>10</v>
      </c>
      <c r="C36" s="84"/>
      <c r="D36" s="84"/>
      <c r="E36" s="84"/>
      <c r="F36" s="84"/>
      <c r="G36" s="84"/>
      <c r="H36" s="84"/>
      <c r="I36" s="84"/>
      <c r="J36" s="84"/>
      <c r="K36" s="84"/>
      <c r="L36" s="143"/>
    </row>
    <row r="37" spans="1:12" ht="8.1" customHeight="1">
      <c r="B37" s="5"/>
      <c r="C37" s="84"/>
      <c r="D37" s="84"/>
      <c r="E37" s="84"/>
      <c r="F37" s="84"/>
      <c r="G37" s="84"/>
      <c r="H37" s="84"/>
      <c r="I37" s="84"/>
      <c r="J37" s="84"/>
      <c r="K37" s="84"/>
      <c r="L37" s="143"/>
    </row>
    <row r="38" spans="1:12" ht="12.75" customHeight="1">
      <c r="B38" s="47" t="s">
        <v>347</v>
      </c>
      <c r="C38" s="84">
        <v>-247000</v>
      </c>
      <c r="D38" s="84">
        <v>0</v>
      </c>
      <c r="E38" s="100">
        <v>0</v>
      </c>
      <c r="F38" s="100">
        <v>0</v>
      </c>
      <c r="G38" s="100">
        <v>0</v>
      </c>
      <c r="H38" s="100">
        <v>-140000</v>
      </c>
      <c r="I38" s="100">
        <v>-140000</v>
      </c>
      <c r="J38" s="100">
        <v>0</v>
      </c>
      <c r="K38" s="100">
        <v>-140000</v>
      </c>
      <c r="L38" s="255">
        <v>-120000</v>
      </c>
    </row>
    <row r="39" spans="1:12" ht="12.75" hidden="1" customHeight="1">
      <c r="A39" t="s">
        <v>252</v>
      </c>
      <c r="B39" t="s">
        <v>253</v>
      </c>
      <c r="C39" s="52">
        <v>0</v>
      </c>
      <c r="D39" s="52" t="e">
        <f>#REF!+#REF!+#REF!+#REF!+#REF!+#REF!+#REF!+#REF!+#REF!+#REF!+#REF!+#REF!</f>
        <v>#REF!</v>
      </c>
      <c r="E39" s="101">
        <v>0</v>
      </c>
      <c r="F39" s="101">
        <v>0</v>
      </c>
      <c r="G39" s="101">
        <v>0</v>
      </c>
      <c r="H39" s="101"/>
      <c r="I39" s="101"/>
      <c r="J39" s="101"/>
      <c r="K39" s="101"/>
      <c r="L39" s="242"/>
    </row>
    <row r="40" spans="1:12" ht="12.75" customHeight="1">
      <c r="A40" t="s">
        <v>77</v>
      </c>
      <c r="B40" s="47" t="s">
        <v>351</v>
      </c>
      <c r="C40" s="52">
        <v>-15000</v>
      </c>
      <c r="D40" s="52">
        <v>0</v>
      </c>
      <c r="E40" s="52">
        <v>0</v>
      </c>
      <c r="F40" s="52">
        <v>-14640</v>
      </c>
      <c r="G40" s="52">
        <v>-14640</v>
      </c>
      <c r="H40" s="52"/>
      <c r="I40" s="52">
        <v>-15360</v>
      </c>
      <c r="J40" s="52">
        <v>0</v>
      </c>
      <c r="K40" s="52">
        <v>-15360</v>
      </c>
      <c r="L40" s="256">
        <v>-31560</v>
      </c>
    </row>
    <row r="41" spans="1:12" ht="15.95" customHeight="1">
      <c r="B41" s="69" t="s">
        <v>370</v>
      </c>
      <c r="C41" s="90">
        <f t="shared" ref="C41:E41" si="3">SUM(C38:C40)</f>
        <v>-262000</v>
      </c>
      <c r="D41" s="90">
        <v>0</v>
      </c>
      <c r="E41" s="90">
        <f t="shared" si="3"/>
        <v>0</v>
      </c>
      <c r="F41" s="90">
        <f t="shared" ref="F41:H41" si="4">SUM(F38:F40)</f>
        <v>-14640</v>
      </c>
      <c r="G41" s="90">
        <f t="shared" si="4"/>
        <v>-14640</v>
      </c>
      <c r="H41" s="90">
        <f t="shared" si="4"/>
        <v>-140000</v>
      </c>
      <c r="I41" s="90">
        <f>SUM(I38:I40)</f>
        <v>-155360</v>
      </c>
      <c r="J41" s="90">
        <f>SUM(J38:J40)</f>
        <v>0</v>
      </c>
      <c r="K41" s="90">
        <f>SUM(K38:K40)</f>
        <v>-155360</v>
      </c>
      <c r="L41" s="246">
        <f>SUM(L38:L40)</f>
        <v>-151560</v>
      </c>
    </row>
    <row r="42" spans="1:12" ht="3" customHeight="1">
      <c r="B42"/>
      <c r="C42" s="84"/>
      <c r="D42" s="84"/>
      <c r="E42" s="84"/>
      <c r="F42" s="84"/>
      <c r="G42" s="84"/>
      <c r="H42" s="84"/>
      <c r="I42" s="84"/>
      <c r="J42" s="84"/>
      <c r="K42" s="84"/>
      <c r="L42" s="143"/>
    </row>
    <row r="43" spans="1:12" ht="11.1" customHeight="1">
      <c r="B43"/>
      <c r="C43" s="84"/>
      <c r="D43" s="84"/>
      <c r="E43" s="84"/>
      <c r="F43" s="84"/>
      <c r="G43" s="84"/>
      <c r="H43" s="84"/>
      <c r="I43" s="84"/>
      <c r="J43" s="84"/>
      <c r="K43" s="84"/>
      <c r="L43" s="143"/>
    </row>
    <row r="44" spans="1:12" ht="12" customHeight="1">
      <c r="B44" s="5" t="s">
        <v>364</v>
      </c>
      <c r="C44" s="98">
        <f>SUM(C34+C41)</f>
        <v>-408648</v>
      </c>
      <c r="D44" s="98">
        <f t="shared" ref="D44" si="5">SUM(D34+D41)</f>
        <v>324823</v>
      </c>
      <c r="E44" s="98">
        <f t="shared" ref="E44:J44" si="6">SUM(E34+E41)</f>
        <v>264743</v>
      </c>
      <c r="F44" s="98">
        <f t="shared" si="6"/>
        <v>85756</v>
      </c>
      <c r="G44" s="98">
        <f t="shared" si="6"/>
        <v>11201</v>
      </c>
      <c r="H44" s="98">
        <f t="shared" si="6"/>
        <v>402290</v>
      </c>
      <c r="I44" s="98">
        <f t="shared" si="6"/>
        <v>127067</v>
      </c>
      <c r="J44" s="98">
        <f t="shared" si="6"/>
        <v>554854</v>
      </c>
      <c r="K44" s="98">
        <f t="shared" ref="K44:L44" si="7">SUM(K34+K41)</f>
        <v>162767</v>
      </c>
      <c r="L44" s="159">
        <f t="shared" si="7"/>
        <v>389309.1549999998</v>
      </c>
    </row>
    <row r="45" spans="1:12">
      <c r="C45" s="84"/>
      <c r="D45" s="84"/>
      <c r="E45" s="84"/>
      <c r="F45" s="84"/>
      <c r="G45" s="84"/>
      <c r="H45" s="84"/>
      <c r="I45" s="84"/>
      <c r="J45" s="84"/>
      <c r="K45" s="84"/>
      <c r="L45" s="143"/>
    </row>
    <row r="46" spans="1:12" ht="12.75" customHeight="1">
      <c r="B46" s="5" t="s">
        <v>389</v>
      </c>
      <c r="C46" s="98">
        <v>1019288</v>
      </c>
      <c r="D46" s="126" t="e">
        <f>#REF!</f>
        <v>#REF!</v>
      </c>
      <c r="E46" s="98">
        <v>1069613</v>
      </c>
      <c r="F46" s="98">
        <v>1316104</v>
      </c>
      <c r="G46" s="98">
        <v>1316104</v>
      </c>
      <c r="H46" s="118">
        <v>1334356</v>
      </c>
      <c r="I46" s="98">
        <v>1758917</v>
      </c>
      <c r="J46" s="98">
        <v>1736646</v>
      </c>
      <c r="K46" s="98">
        <v>1736646</v>
      </c>
      <c r="L46" s="159">
        <f>K48</f>
        <v>1899413</v>
      </c>
    </row>
    <row r="47" spans="1:12" ht="9" customHeight="1">
      <c r="B47" s="22" t="s">
        <v>346</v>
      </c>
      <c r="C47" s="84"/>
      <c r="D47" s="84"/>
      <c r="E47" s="154"/>
      <c r="F47" s="80"/>
      <c r="G47" s="80"/>
      <c r="H47" s="80"/>
      <c r="I47" s="80"/>
      <c r="J47" s="80"/>
      <c r="K47" s="80"/>
      <c r="L47" s="204"/>
    </row>
    <row r="48" spans="1:12" ht="13.5" thickBot="1">
      <c r="B48" s="5" t="s">
        <v>361</v>
      </c>
      <c r="C48" s="205">
        <f>SUM(C44+C46)</f>
        <v>610640</v>
      </c>
      <c r="D48" s="205" t="e">
        <f t="shared" ref="D48" si="8">SUM(D44+D46)</f>
        <v>#REF!</v>
      </c>
      <c r="E48" s="205">
        <f>SUM(E44+E46)</f>
        <v>1334356</v>
      </c>
      <c r="F48" s="205">
        <f>SUM(F44+F46)</f>
        <v>1401860</v>
      </c>
      <c r="G48" s="205">
        <f>SUM(G44+G46)</f>
        <v>1327305</v>
      </c>
      <c r="H48" s="205">
        <f>SUM(H44+H46)</f>
        <v>1736646</v>
      </c>
      <c r="I48" s="205">
        <f t="shared" ref="I48:J48" si="9">SUM(I44+I46)</f>
        <v>1885984</v>
      </c>
      <c r="J48" s="205">
        <f t="shared" si="9"/>
        <v>2291500</v>
      </c>
      <c r="K48" s="205">
        <f t="shared" ref="K48:L48" si="10">SUM(K44+K46)</f>
        <v>1899413</v>
      </c>
      <c r="L48" s="211">
        <f t="shared" si="10"/>
        <v>2288722.1549999998</v>
      </c>
    </row>
    <row r="49" spans="2:12" ht="13.5" thickTop="1">
      <c r="L49" s="151"/>
    </row>
    <row r="50" spans="2:12">
      <c r="B50" s="63"/>
      <c r="C50" s="4"/>
      <c r="D50" s="4"/>
    </row>
    <row r="51" spans="2:12">
      <c r="B51" s="63"/>
      <c r="C51" s="4"/>
      <c r="D51" s="4"/>
    </row>
    <row r="52" spans="2:12">
      <c r="B52" s="63"/>
      <c r="C52" s="4"/>
      <c r="D52" s="4"/>
    </row>
    <row r="53" spans="2:12">
      <c r="C53" s="4"/>
      <c r="D53" s="4"/>
    </row>
    <row r="54" spans="2:12">
      <c r="C54" s="4"/>
      <c r="D54" s="4"/>
    </row>
    <row r="55" spans="2:12">
      <c r="C55" s="4"/>
      <c r="D55" s="4"/>
    </row>
    <row r="56" spans="2:12">
      <c r="C56" s="16"/>
      <c r="D56" s="16"/>
    </row>
    <row r="57" spans="2:12">
      <c r="D57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4" spans="2:12">
      <c r="D64" s="66"/>
    </row>
    <row r="65" spans="4:4">
      <c r="D65" s="22"/>
    </row>
  </sheetData>
  <mergeCells count="4">
    <mergeCell ref="A4:F4"/>
    <mergeCell ref="A1:L1"/>
    <mergeCell ref="A2:L2"/>
    <mergeCell ref="A3:L3"/>
  </mergeCells>
  <phoneticPr fontId="23" type="noConversion"/>
  <printOptions horizontalCentered="1"/>
  <pageMargins left="0.25" right="0.25" top="0.75" bottom="0.25" header="0.3" footer="0.05"/>
  <pageSetup scale="75" orientation="landscape" r:id="rId1"/>
  <headerFooter alignWithMargins="0"/>
  <ignoredErrors>
    <ignoredError sqref="D33 D2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B4" zoomScale="130" zoomScaleNormal="130" zoomScalePageLayoutView="125" workbookViewId="0">
      <selection activeCell="J16" sqref="J16"/>
    </sheetView>
  </sheetViews>
  <sheetFormatPr defaultColWidth="9.140625" defaultRowHeight="12.75"/>
  <cols>
    <col min="1" max="1" width="8.7109375" style="3" hidden="1" customWidth="1"/>
    <col min="2" max="2" width="36" style="3" customWidth="1"/>
    <col min="3" max="4" width="12.28515625" style="3" hidden="1" customWidth="1"/>
    <col min="5" max="6" width="12.28515625" style="22" customWidth="1"/>
    <col min="7" max="9" width="12.28515625" style="3" customWidth="1"/>
    <col min="10" max="11" width="14.140625" style="3" customWidth="1"/>
    <col min="12" max="12" width="11.85546875" style="3" bestFit="1" customWidth="1"/>
    <col min="13" max="13" width="27" style="3" bestFit="1" customWidth="1"/>
    <col min="14" max="16384" width="9.140625" style="3"/>
  </cols>
  <sheetData>
    <row r="1" spans="1:14" ht="42" customHeight="1">
      <c r="A1" s="282" t="s">
        <v>345</v>
      </c>
      <c r="B1" s="283"/>
      <c r="C1" s="283"/>
      <c r="D1" s="283"/>
      <c r="E1" s="283"/>
      <c r="F1" s="284"/>
      <c r="G1" s="281"/>
      <c r="H1" s="281"/>
      <c r="I1" s="281"/>
      <c r="J1" s="281"/>
      <c r="K1" s="281"/>
      <c r="L1" s="281"/>
    </row>
    <row r="2" spans="1:14" ht="3" customHeight="1">
      <c r="B2" s="279"/>
      <c r="C2" s="279"/>
      <c r="D2" s="279"/>
      <c r="E2" s="1"/>
    </row>
    <row r="3" spans="1:14" ht="18">
      <c r="A3" s="285" t="s">
        <v>453</v>
      </c>
      <c r="B3" s="286"/>
      <c r="C3" s="286"/>
      <c r="D3" s="286"/>
      <c r="E3" s="286"/>
      <c r="F3" s="281"/>
      <c r="G3" s="281"/>
      <c r="H3" s="281"/>
      <c r="I3" s="281"/>
      <c r="J3" s="281"/>
      <c r="K3" s="281"/>
      <c r="L3" s="281"/>
    </row>
    <row r="4" spans="1:14" ht="15.75">
      <c r="B4" s="287" t="s">
        <v>427</v>
      </c>
      <c r="C4" s="288"/>
      <c r="D4" s="288"/>
      <c r="E4" s="288"/>
      <c r="F4" s="281"/>
      <c r="G4" s="281"/>
      <c r="H4" s="281"/>
      <c r="I4" s="281"/>
      <c r="J4" s="281"/>
      <c r="K4" s="281"/>
      <c r="L4" s="281"/>
    </row>
    <row r="5" spans="1:14" ht="2.25" customHeight="1">
      <c r="B5" s="279" t="str">
        <f>+'Gen Fund'!A4</f>
        <v xml:space="preserve"> </v>
      </c>
      <c r="C5" s="279"/>
      <c r="D5" s="279"/>
      <c r="E5" s="279"/>
      <c r="F5" s="281"/>
    </row>
    <row r="6" spans="1:14" ht="2.25" customHeight="1">
      <c r="B6" s="1"/>
      <c r="C6" s="1"/>
      <c r="D6" s="1"/>
      <c r="E6" s="1"/>
      <c r="F6"/>
    </row>
    <row r="7" spans="1:14" ht="11.25" customHeight="1">
      <c r="B7" s="1"/>
      <c r="C7" s="1"/>
      <c r="D7" s="1"/>
      <c r="E7" s="1"/>
      <c r="F7"/>
      <c r="G7" s="177" t="s">
        <v>346</v>
      </c>
      <c r="H7" s="177"/>
      <c r="I7" s="177"/>
    </row>
    <row r="8" spans="1:14" ht="13.5" thickBot="1">
      <c r="C8" s="96"/>
      <c r="G8" s="177" t="s">
        <v>411</v>
      </c>
      <c r="H8" s="177"/>
      <c r="I8" s="177"/>
    </row>
    <row r="9" spans="1:14" s="1" customFormat="1" ht="13.5" thickTop="1">
      <c r="C9" s="115" t="s">
        <v>360</v>
      </c>
      <c r="D9" s="82">
        <v>2023</v>
      </c>
      <c r="E9" s="115" t="s">
        <v>436</v>
      </c>
      <c r="F9" s="115" t="s">
        <v>360</v>
      </c>
      <c r="G9" s="115" t="s">
        <v>413</v>
      </c>
      <c r="H9" s="14" t="s">
        <v>265</v>
      </c>
      <c r="I9" s="115" t="s">
        <v>360</v>
      </c>
      <c r="J9" s="115" t="s">
        <v>415</v>
      </c>
      <c r="K9" s="14" t="s">
        <v>424</v>
      </c>
      <c r="L9" s="144" t="s">
        <v>418</v>
      </c>
    </row>
    <row r="10" spans="1:14" s="1" customFormat="1" ht="29.1" customHeight="1" thickBot="1">
      <c r="C10" s="105" t="s">
        <v>380</v>
      </c>
      <c r="D10" s="83" t="s">
        <v>406</v>
      </c>
      <c r="E10" s="105">
        <v>2023</v>
      </c>
      <c r="F10" s="105" t="s">
        <v>392</v>
      </c>
      <c r="G10" s="105" t="s">
        <v>392</v>
      </c>
      <c r="H10" s="20">
        <v>2024</v>
      </c>
      <c r="I10" s="105">
        <v>2025</v>
      </c>
      <c r="J10" s="188">
        <v>45869</v>
      </c>
      <c r="K10" s="20">
        <v>2025</v>
      </c>
      <c r="L10" s="207" t="s">
        <v>429</v>
      </c>
    </row>
    <row r="11" spans="1:14" ht="12.75" customHeight="1" thickTop="1">
      <c r="B11" s="2" t="s">
        <v>267</v>
      </c>
      <c r="C11" s="80"/>
      <c r="D11" s="6"/>
      <c r="E11" s="80"/>
      <c r="F11" s="80"/>
      <c r="G11" s="80"/>
      <c r="H11" s="80"/>
      <c r="I11" s="80"/>
      <c r="J11" s="80"/>
      <c r="K11" s="80"/>
      <c r="L11" s="200"/>
    </row>
    <row r="12" spans="1:14" ht="12.75" customHeight="1">
      <c r="A12" t="s">
        <v>63</v>
      </c>
      <c r="B12" s="22" t="s">
        <v>391</v>
      </c>
      <c r="C12" s="84">
        <v>225000</v>
      </c>
      <c r="D12" s="6">
        <v>274727</v>
      </c>
      <c r="E12" s="85">
        <v>277647</v>
      </c>
      <c r="F12" s="85">
        <v>275055</v>
      </c>
      <c r="G12" s="85">
        <v>275055</v>
      </c>
      <c r="H12" s="85">
        <f>265600+6765</f>
        <v>272365</v>
      </c>
      <c r="I12" s="85">
        <v>275055</v>
      </c>
      <c r="J12" s="85">
        <v>0</v>
      </c>
      <c r="K12" s="85">
        <v>0</v>
      </c>
      <c r="L12" s="162">
        <v>0</v>
      </c>
      <c r="M12" s="239" t="s">
        <v>346</v>
      </c>
    </row>
    <row r="13" spans="1:14" ht="12.75" customHeight="1">
      <c r="A13" t="s">
        <v>78</v>
      </c>
      <c r="B13" t="s">
        <v>271</v>
      </c>
      <c r="C13" s="52">
        <v>243914</v>
      </c>
      <c r="D13" s="4">
        <v>237020</v>
      </c>
      <c r="E13" s="99">
        <v>242536</v>
      </c>
      <c r="F13" s="99">
        <v>389022</v>
      </c>
      <c r="G13" s="99">
        <v>354767</v>
      </c>
      <c r="H13" s="99">
        <v>348683</v>
      </c>
      <c r="I13" s="99">
        <v>354991</v>
      </c>
      <c r="J13" s="99">
        <v>322029</v>
      </c>
      <c r="K13" s="99">
        <v>354991</v>
      </c>
      <c r="L13" s="203">
        <v>302913</v>
      </c>
      <c r="M13" s="22"/>
      <c r="N13" s="124"/>
    </row>
    <row r="14" spans="1:14" ht="12.75" customHeight="1">
      <c r="A14" s="22" t="s">
        <v>7</v>
      </c>
      <c r="B14" s="22" t="s">
        <v>232</v>
      </c>
      <c r="C14" s="52">
        <v>1000</v>
      </c>
      <c r="D14" s="4">
        <v>708</v>
      </c>
      <c r="E14" s="99">
        <v>1084</v>
      </c>
      <c r="F14" s="99">
        <v>700</v>
      </c>
      <c r="G14" s="99">
        <v>700</v>
      </c>
      <c r="H14" s="99">
        <v>2273</v>
      </c>
      <c r="I14" s="99">
        <v>800</v>
      </c>
      <c r="J14" s="99">
        <v>924</v>
      </c>
      <c r="K14" s="99">
        <v>1000</v>
      </c>
      <c r="L14" s="203">
        <v>1100</v>
      </c>
    </row>
    <row r="15" spans="1:14" ht="12.75" customHeight="1">
      <c r="A15" t="s">
        <v>79</v>
      </c>
      <c r="B15" t="s">
        <v>288</v>
      </c>
      <c r="C15" s="52">
        <v>30000</v>
      </c>
      <c r="D15" s="4">
        <v>23756</v>
      </c>
      <c r="E15" s="99">
        <v>30019</v>
      </c>
      <c r="F15" s="99">
        <v>32000</v>
      </c>
      <c r="G15" s="99">
        <v>32000</v>
      </c>
      <c r="H15" s="99">
        <v>39337</v>
      </c>
      <c r="I15" s="99">
        <v>32000</v>
      </c>
      <c r="J15" s="99">
        <v>25493</v>
      </c>
      <c r="K15" s="99">
        <v>42000</v>
      </c>
      <c r="L15" s="203">
        <v>32000</v>
      </c>
    </row>
    <row r="16" spans="1:14" ht="16.5" customHeight="1">
      <c r="A16" t="s">
        <v>80</v>
      </c>
      <c r="B16" t="s">
        <v>432</v>
      </c>
      <c r="C16" s="52">
        <v>2000</v>
      </c>
      <c r="D16" s="4">
        <v>2978</v>
      </c>
      <c r="E16" s="99">
        <v>4097</v>
      </c>
      <c r="F16" s="99">
        <v>1925</v>
      </c>
      <c r="G16" s="99">
        <v>1925</v>
      </c>
      <c r="H16" s="99">
        <v>4533</v>
      </c>
      <c r="I16" s="99">
        <v>3000</v>
      </c>
      <c r="J16" s="99">
        <v>2214</v>
      </c>
      <c r="K16" s="99">
        <v>3000</v>
      </c>
      <c r="L16" s="203">
        <v>3000</v>
      </c>
    </row>
    <row r="17" spans="1:13" ht="16.5" hidden="1" customHeight="1">
      <c r="C17" s="84" t="s">
        <v>346</v>
      </c>
      <c r="D17" s="4"/>
      <c r="E17" s="4" t="s">
        <v>346</v>
      </c>
      <c r="F17" s="4" t="s">
        <v>346</v>
      </c>
      <c r="G17" s="4" t="s">
        <v>346</v>
      </c>
      <c r="H17" s="4">
        <v>0</v>
      </c>
      <c r="I17" s="4"/>
      <c r="J17" s="4"/>
      <c r="K17" s="4"/>
      <c r="L17" s="158"/>
    </row>
    <row r="18" spans="1:13" ht="16.5" customHeight="1">
      <c r="C18" s="107"/>
      <c r="D18" s="45"/>
      <c r="E18" s="45"/>
      <c r="F18" s="45"/>
      <c r="G18" s="45"/>
      <c r="H18" s="45"/>
      <c r="I18" s="45"/>
      <c r="J18" s="45"/>
      <c r="K18" s="45"/>
      <c r="L18" s="210"/>
    </row>
    <row r="19" spans="1:13" ht="12.75" customHeight="1">
      <c r="B19" s="1" t="s">
        <v>286</v>
      </c>
      <c r="C19" s="98">
        <f t="shared" ref="C19:H19" si="0">SUM(C12:C17)</f>
        <v>501914</v>
      </c>
      <c r="D19" s="86">
        <f t="shared" si="0"/>
        <v>539189</v>
      </c>
      <c r="E19" s="86">
        <f t="shared" si="0"/>
        <v>555383</v>
      </c>
      <c r="F19" s="86">
        <f t="shared" si="0"/>
        <v>698702</v>
      </c>
      <c r="G19" s="86">
        <f t="shared" si="0"/>
        <v>664447</v>
      </c>
      <c r="H19" s="86">
        <f t="shared" si="0"/>
        <v>667191</v>
      </c>
      <c r="I19" s="221">
        <f>SUM(I12:I18)</f>
        <v>665846</v>
      </c>
      <c r="J19" s="86">
        <f>SUM(J12:J18)</f>
        <v>350660</v>
      </c>
      <c r="K19" s="221">
        <f>SUM(K12:K18)</f>
        <v>400991</v>
      </c>
      <c r="L19" s="252">
        <f>SUM(L12:L18)</f>
        <v>339013</v>
      </c>
    </row>
    <row r="20" spans="1:13" ht="12.75" customHeight="1">
      <c r="B20" s="1"/>
      <c r="C20" s="84"/>
      <c r="D20" s="6"/>
      <c r="E20" s="6"/>
      <c r="F20" s="6"/>
      <c r="G20" s="6"/>
      <c r="H20" s="6"/>
      <c r="I20" s="6"/>
      <c r="J20" s="6"/>
      <c r="K20" s="6"/>
      <c r="L20" s="143"/>
    </row>
    <row r="21" spans="1:13" ht="12.75" customHeight="1">
      <c r="B21" s="2" t="s">
        <v>268</v>
      </c>
      <c r="C21" s="84"/>
      <c r="D21" s="4"/>
      <c r="E21" s="4"/>
      <c r="F21" s="4"/>
      <c r="G21" s="4"/>
      <c r="H21" s="4"/>
      <c r="I21" s="4"/>
      <c r="J21" s="4"/>
      <c r="K21" s="4"/>
      <c r="L21" s="158"/>
    </row>
    <row r="22" spans="1:13" ht="12.75" customHeight="1">
      <c r="A22" s="22" t="s">
        <v>8</v>
      </c>
      <c r="B22" t="s">
        <v>102</v>
      </c>
      <c r="C22" s="84">
        <v>10000</v>
      </c>
      <c r="D22" s="4">
        <v>2350</v>
      </c>
      <c r="E22" s="113">
        <v>2550</v>
      </c>
      <c r="F22" s="113">
        <v>0</v>
      </c>
      <c r="G22" s="113">
        <v>0</v>
      </c>
      <c r="H22" s="113">
        <v>2015</v>
      </c>
      <c r="I22" s="113">
        <v>2000</v>
      </c>
      <c r="J22" s="113">
        <v>0</v>
      </c>
      <c r="K22" s="113">
        <v>0</v>
      </c>
      <c r="L22" s="162">
        <v>0</v>
      </c>
    </row>
    <row r="23" spans="1:13" ht="12.75" customHeight="1">
      <c r="A23" s="22" t="s">
        <v>36</v>
      </c>
      <c r="B23" t="s">
        <v>20</v>
      </c>
      <c r="C23" s="52">
        <v>600</v>
      </c>
      <c r="D23" s="4">
        <v>400</v>
      </c>
      <c r="E23" s="99">
        <v>400</v>
      </c>
      <c r="F23" s="99">
        <v>600</v>
      </c>
      <c r="G23" s="99">
        <v>600</v>
      </c>
      <c r="H23" s="99">
        <v>400</v>
      </c>
      <c r="I23" s="99">
        <v>600</v>
      </c>
      <c r="J23" s="99">
        <v>400</v>
      </c>
      <c r="K23" s="99">
        <v>600</v>
      </c>
      <c r="L23" s="203">
        <v>600</v>
      </c>
    </row>
    <row r="24" spans="1:13" ht="12.75" customHeight="1">
      <c r="A24" t="s">
        <v>31</v>
      </c>
      <c r="B24" s="270" t="s">
        <v>356</v>
      </c>
      <c r="C24" s="52">
        <v>84156</v>
      </c>
      <c r="D24" s="4">
        <v>41869</v>
      </c>
      <c r="E24" s="99">
        <v>84156</v>
      </c>
      <c r="F24" s="99">
        <v>85847</v>
      </c>
      <c r="G24" s="99">
        <v>85847</v>
      </c>
      <c r="H24" s="99">
        <v>85847</v>
      </c>
      <c r="I24" s="99">
        <v>87573</v>
      </c>
      <c r="J24" s="99">
        <v>0</v>
      </c>
      <c r="K24" s="99">
        <v>0</v>
      </c>
      <c r="L24" s="203">
        <v>0</v>
      </c>
      <c r="M24" s="192"/>
    </row>
    <row r="25" spans="1:13" ht="12.75" customHeight="1">
      <c r="A25" t="s">
        <v>32</v>
      </c>
      <c r="B25" s="270" t="s">
        <v>357</v>
      </c>
      <c r="C25" s="52">
        <v>11145</v>
      </c>
      <c r="D25" s="4">
        <v>5782</v>
      </c>
      <c r="E25" s="99">
        <v>11075</v>
      </c>
      <c r="F25" s="99">
        <v>9453</v>
      </c>
      <c r="G25" s="99">
        <v>9453</v>
      </c>
      <c r="H25" s="99">
        <v>9310</v>
      </c>
      <c r="I25" s="99">
        <v>7728</v>
      </c>
      <c r="J25" s="99">
        <v>0</v>
      </c>
      <c r="K25" s="99">
        <v>0</v>
      </c>
      <c r="L25" s="203">
        <v>0</v>
      </c>
      <c r="M25" s="192"/>
    </row>
    <row r="26" spans="1:13" ht="12.75" customHeight="1">
      <c r="A26" s="22" t="s">
        <v>9</v>
      </c>
      <c r="B26" t="s">
        <v>355</v>
      </c>
      <c r="C26" s="52">
        <v>150000</v>
      </c>
      <c r="D26" s="4">
        <v>0</v>
      </c>
      <c r="E26" s="99">
        <v>150000</v>
      </c>
      <c r="F26" s="99">
        <v>150000</v>
      </c>
      <c r="G26" s="99">
        <v>150000</v>
      </c>
      <c r="H26" s="99">
        <v>176882</v>
      </c>
      <c r="I26" s="99">
        <v>155000</v>
      </c>
      <c r="J26" s="99">
        <v>0</v>
      </c>
      <c r="K26" s="99">
        <v>155000</v>
      </c>
      <c r="L26" s="203">
        <v>165000</v>
      </c>
      <c r="M26" s="193"/>
    </row>
    <row r="27" spans="1:13" ht="12.75" customHeight="1">
      <c r="A27" t="s">
        <v>33</v>
      </c>
      <c r="B27" t="s">
        <v>369</v>
      </c>
      <c r="C27" s="52">
        <v>182000</v>
      </c>
      <c r="D27" s="4">
        <v>91000</v>
      </c>
      <c r="E27" s="99">
        <v>181555</v>
      </c>
      <c r="F27" s="99">
        <v>177500</v>
      </c>
      <c r="G27" s="99">
        <v>177500</v>
      </c>
      <c r="H27" s="99">
        <v>150000</v>
      </c>
      <c r="I27" s="99">
        <v>173000</v>
      </c>
      <c r="J27" s="99">
        <v>86500</v>
      </c>
      <c r="K27" s="99">
        <v>173000</v>
      </c>
      <c r="L27" s="203">
        <v>168350</v>
      </c>
      <c r="M27" s="193"/>
    </row>
    <row r="28" spans="1:13" ht="12.75" customHeight="1">
      <c r="C28" s="108"/>
      <c r="D28" s="45"/>
      <c r="E28" s="45"/>
      <c r="F28" s="45"/>
      <c r="G28" s="45"/>
      <c r="H28" s="45"/>
      <c r="I28" s="45"/>
      <c r="J28" s="45"/>
      <c r="K28" s="45"/>
      <c r="L28" s="210"/>
    </row>
    <row r="29" spans="1:13" ht="12.75" customHeight="1">
      <c r="B29" s="1" t="s">
        <v>266</v>
      </c>
      <c r="C29" s="98">
        <f t="shared" ref="C29:H29" si="1">SUM(C22:C27)</f>
        <v>437901</v>
      </c>
      <c r="D29" s="86">
        <f t="shared" si="1"/>
        <v>141401</v>
      </c>
      <c r="E29" s="86">
        <f t="shared" si="1"/>
        <v>429736</v>
      </c>
      <c r="F29" s="86">
        <f t="shared" si="1"/>
        <v>423400</v>
      </c>
      <c r="G29" s="86">
        <f t="shared" si="1"/>
        <v>423400</v>
      </c>
      <c r="H29" s="86">
        <f t="shared" si="1"/>
        <v>424454</v>
      </c>
      <c r="I29" s="221">
        <f>SUM(I22:I28)</f>
        <v>425901</v>
      </c>
      <c r="J29" s="86">
        <f>SUM(J22:J28)</f>
        <v>86900</v>
      </c>
      <c r="K29" s="221">
        <f>SUM(K22:K28)</f>
        <v>328600</v>
      </c>
      <c r="L29" s="252">
        <f>SUM(L22:L28)</f>
        <v>333950</v>
      </c>
    </row>
    <row r="30" spans="1:13" ht="12.75" customHeight="1">
      <c r="B30" s="1"/>
      <c r="C30" s="52"/>
      <c r="D30" s="4"/>
      <c r="E30" s="4"/>
      <c r="F30" s="4"/>
      <c r="G30" s="4"/>
      <c r="H30" s="4"/>
      <c r="I30" s="4"/>
      <c r="J30" s="4"/>
      <c r="K30" s="4"/>
      <c r="L30" s="158"/>
    </row>
    <row r="31" spans="1:13" ht="12.75" customHeight="1">
      <c r="B31" s="5" t="s">
        <v>364</v>
      </c>
      <c r="C31" s="98">
        <f t="shared" ref="C31:H31" si="2">SUM(C19-C29)</f>
        <v>64013</v>
      </c>
      <c r="D31" s="98">
        <f t="shared" si="2"/>
        <v>397788</v>
      </c>
      <c r="E31" s="98">
        <f t="shared" si="2"/>
        <v>125647</v>
      </c>
      <c r="F31" s="98">
        <f t="shared" si="2"/>
        <v>275302</v>
      </c>
      <c r="G31" s="98">
        <f t="shared" si="2"/>
        <v>241047</v>
      </c>
      <c r="H31" s="98">
        <f t="shared" si="2"/>
        <v>242737</v>
      </c>
      <c r="I31" s="98">
        <f t="shared" ref="I31:J31" si="3">SUM(I19-I29)</f>
        <v>239945</v>
      </c>
      <c r="J31" s="98">
        <f t="shared" si="3"/>
        <v>263760</v>
      </c>
      <c r="K31" s="98">
        <f t="shared" ref="K31:L31" si="4">SUM(K19-K29)</f>
        <v>72391</v>
      </c>
      <c r="L31" s="159">
        <f t="shared" si="4"/>
        <v>5063</v>
      </c>
    </row>
    <row r="32" spans="1:13" ht="12.75" customHeight="1">
      <c r="A32"/>
      <c r="B32"/>
      <c r="C32" s="52"/>
      <c r="D32" s="4"/>
      <c r="E32" s="4"/>
      <c r="F32" s="4"/>
      <c r="G32" s="4"/>
      <c r="H32" s="4"/>
      <c r="I32" s="4"/>
      <c r="J32" s="4"/>
      <c r="K32" s="4"/>
      <c r="L32" s="158"/>
    </row>
    <row r="33" spans="2:13">
      <c r="B33" s="5" t="s">
        <v>388</v>
      </c>
      <c r="C33" s="126">
        <v>687659</v>
      </c>
      <c r="D33" s="126" t="e">
        <f>#REF!</f>
        <v>#REF!</v>
      </c>
      <c r="E33" s="126">
        <v>656954</v>
      </c>
      <c r="F33" s="126">
        <v>780242</v>
      </c>
      <c r="G33" s="126">
        <v>782601</v>
      </c>
      <c r="H33" s="220">
        <v>782601</v>
      </c>
      <c r="I33" s="126">
        <v>1038744</v>
      </c>
      <c r="J33" s="267">
        <v>259686</v>
      </c>
      <c r="K33" s="267">
        <v>259686</v>
      </c>
      <c r="L33" s="266">
        <f>K35</f>
        <v>332077</v>
      </c>
      <c r="M33" s="190" t="s">
        <v>346</v>
      </c>
    </row>
    <row r="34" spans="2:13" ht="6.95" customHeight="1">
      <c r="B34" s="5"/>
      <c r="C34" s="22"/>
      <c r="D34" s="22"/>
      <c r="G34" s="22"/>
      <c r="H34" s="22"/>
      <c r="I34" s="22"/>
      <c r="J34" s="22"/>
      <c r="K34" s="22"/>
      <c r="L34" s="160"/>
    </row>
    <row r="35" spans="2:13" ht="13.5" thickBot="1">
      <c r="B35" s="5" t="s">
        <v>361</v>
      </c>
      <c r="C35" s="205">
        <f t="shared" ref="C35" si="5">SUM(C31:C33)</f>
        <v>751672</v>
      </c>
      <c r="D35" s="205" t="e">
        <f t="shared" ref="D35" si="6">SUM(D31:D33)</f>
        <v>#REF!</v>
      </c>
      <c r="E35" s="205">
        <f t="shared" ref="E35:K35" si="7">SUM(E31:E33)</f>
        <v>782601</v>
      </c>
      <c r="F35" s="205">
        <f t="shared" si="7"/>
        <v>1055544</v>
      </c>
      <c r="G35" s="205">
        <f t="shared" si="7"/>
        <v>1023648</v>
      </c>
      <c r="H35" s="205">
        <f t="shared" si="7"/>
        <v>1025338</v>
      </c>
      <c r="I35" s="205">
        <f t="shared" si="7"/>
        <v>1278689</v>
      </c>
      <c r="J35" s="205">
        <f t="shared" si="7"/>
        <v>523446</v>
      </c>
      <c r="K35" s="205">
        <f t="shared" si="7"/>
        <v>332077</v>
      </c>
      <c r="L35" s="211">
        <f>L33+L31</f>
        <v>337140</v>
      </c>
    </row>
    <row r="36" spans="2:13" ht="13.5" thickTop="1">
      <c r="B36" s="5"/>
      <c r="C36" s="6"/>
      <c r="D36" s="6"/>
      <c r="E36" s="154"/>
    </row>
    <row r="37" spans="2:13">
      <c r="B37" s="112" t="s">
        <v>346</v>
      </c>
      <c r="D37" s="22"/>
    </row>
    <row r="38" spans="2:13">
      <c r="D38" s="22"/>
    </row>
    <row r="39" spans="2:13">
      <c r="C39" s="17"/>
      <c r="D39" s="17"/>
    </row>
    <row r="40" spans="2:13">
      <c r="C40" s="17"/>
      <c r="D40" s="17"/>
    </row>
    <row r="41" spans="2:13">
      <c r="C41" s="17"/>
      <c r="D41" s="17"/>
    </row>
    <row r="42" spans="2:13">
      <c r="C42" s="17"/>
      <c r="D42" s="17"/>
    </row>
    <row r="43" spans="2:13">
      <c r="C43" s="17"/>
      <c r="D43" s="17"/>
    </row>
    <row r="44" spans="2:13">
      <c r="C44" s="64"/>
      <c r="D44" s="64"/>
    </row>
    <row r="45" spans="2:13">
      <c r="C45" s="18"/>
      <c r="D45" s="18"/>
    </row>
    <row r="46" spans="2:13">
      <c r="C46" s="18"/>
      <c r="D46" s="18"/>
      <c r="E46" s="155"/>
    </row>
    <row r="47" spans="2:13">
      <c r="C47" s="18"/>
      <c r="D47" s="18"/>
      <c r="E47" s="155"/>
    </row>
    <row r="48" spans="2:13">
      <c r="C48" s="18"/>
      <c r="D48" s="18"/>
      <c r="E48" s="155"/>
    </row>
    <row r="49" spans="3:5">
      <c r="C49" s="18"/>
      <c r="D49" s="18"/>
      <c r="E49" s="155"/>
    </row>
    <row r="50" spans="3:5">
      <c r="C50" s="18"/>
      <c r="D50" s="18"/>
      <c r="E50" s="155"/>
    </row>
    <row r="51" spans="3:5">
      <c r="C51" s="18"/>
      <c r="D51" s="18"/>
      <c r="E51" s="155"/>
    </row>
    <row r="52" spans="3:5">
      <c r="C52" s="18"/>
      <c r="D52" s="18"/>
      <c r="E52" s="155"/>
    </row>
    <row r="53" spans="3:5">
      <c r="C53" s="18"/>
      <c r="D53" s="18"/>
      <c r="E53" s="155"/>
    </row>
    <row r="54" spans="3:5">
      <c r="C54" s="18"/>
      <c r="D54" s="18"/>
      <c r="E54" s="155"/>
    </row>
    <row r="55" spans="3:5">
      <c r="C55" s="18"/>
      <c r="D55" s="18"/>
      <c r="E55" s="155"/>
    </row>
    <row r="56" spans="3:5">
      <c r="C56" s="18"/>
      <c r="D56" s="18"/>
      <c r="E56" s="155"/>
    </row>
    <row r="57" spans="3:5">
      <c r="C57" s="18"/>
      <c r="D57" s="18"/>
      <c r="E57" s="155"/>
    </row>
    <row r="58" spans="3:5">
      <c r="C58" s="18"/>
      <c r="D58" s="18"/>
      <c r="E58" s="155"/>
    </row>
    <row r="59" spans="3:5">
      <c r="C59" s="18"/>
      <c r="D59" s="18"/>
      <c r="E59" s="155"/>
    </row>
    <row r="60" spans="3:5">
      <c r="C60" s="18"/>
      <c r="D60" s="18"/>
      <c r="E60" s="155"/>
    </row>
    <row r="61" spans="3:5">
      <c r="C61" s="18"/>
      <c r="D61" s="18"/>
      <c r="E61" s="155"/>
    </row>
  </sheetData>
  <mergeCells count="5">
    <mergeCell ref="B2:D2"/>
    <mergeCell ref="B5:F5"/>
    <mergeCell ref="A1:L1"/>
    <mergeCell ref="A3:L3"/>
    <mergeCell ref="B4:L4"/>
  </mergeCells>
  <phoneticPr fontId="23" type="noConversion"/>
  <printOptions horizontalCentered="1"/>
  <pageMargins left="0.25" right="0.25" top="0.5" bottom="0.5" header="0.5" footer="0.5"/>
  <pageSetup paperSize="5" scale="11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9"/>
  <sheetViews>
    <sheetView topLeftCell="A117" zoomScale="120" zoomScaleNormal="120" zoomScaleSheetLayoutView="100" workbookViewId="0">
      <selection activeCell="L145" sqref="L145"/>
    </sheetView>
  </sheetViews>
  <sheetFormatPr defaultColWidth="9.140625" defaultRowHeight="12.75"/>
  <cols>
    <col min="1" max="1" width="0.140625" style="3" customWidth="1"/>
    <col min="2" max="2" width="43.28515625" style="3" customWidth="1"/>
    <col min="3" max="4" width="12.7109375" style="3" hidden="1" customWidth="1"/>
    <col min="5" max="5" width="12.28515625" style="22" customWidth="1"/>
    <col min="6" max="6" width="12.7109375" style="22" customWidth="1"/>
    <col min="7" max="10" width="0" style="3" hidden="1" customWidth="1"/>
    <col min="11" max="11" width="12.5703125" style="3" customWidth="1"/>
    <col min="12" max="14" width="13.140625" style="3" customWidth="1"/>
    <col min="15" max="15" width="16.28515625" style="5" bestFit="1" customWidth="1"/>
    <col min="16" max="16" width="0" style="3" hidden="1" customWidth="1"/>
    <col min="17" max="17" width="49.42578125" style="3" bestFit="1" customWidth="1"/>
    <col min="18" max="18" width="10.5703125" style="3" bestFit="1" customWidth="1"/>
    <col min="19" max="19" width="10.42578125" style="3" bestFit="1" customWidth="1"/>
    <col min="20" max="21" width="11.28515625" style="3" bestFit="1" customWidth="1"/>
    <col min="22" max="16384" width="9.140625" style="3"/>
  </cols>
  <sheetData>
    <row r="1" spans="1:18" ht="42" customHeight="1">
      <c r="A1" s="282" t="s">
        <v>345</v>
      </c>
      <c r="B1" s="284"/>
      <c r="C1" s="284"/>
      <c r="D1" s="284"/>
      <c r="E1" s="284"/>
      <c r="F1" s="284"/>
      <c r="G1" s="281"/>
      <c r="H1" s="281"/>
      <c r="I1" s="281"/>
      <c r="J1" s="281"/>
      <c r="K1" s="281"/>
      <c r="L1" s="281"/>
      <c r="M1" s="281"/>
      <c r="N1" s="281"/>
      <c r="O1" s="281"/>
    </row>
    <row r="2" spans="1:18" ht="0.95" customHeight="1">
      <c r="B2" s="279"/>
      <c r="C2" s="279"/>
      <c r="D2" s="279"/>
      <c r="E2" s="1"/>
    </row>
    <row r="3" spans="1:18" ht="18">
      <c r="A3" s="285" t="s">
        <v>85</v>
      </c>
      <c r="B3" s="286"/>
      <c r="C3" s="286"/>
      <c r="D3" s="286"/>
      <c r="E3" s="286"/>
      <c r="F3" s="281"/>
      <c r="G3" s="281"/>
      <c r="H3" s="281"/>
      <c r="I3" s="281"/>
      <c r="J3" s="281"/>
      <c r="K3" s="281"/>
      <c r="L3" s="281"/>
      <c r="M3" s="281"/>
      <c r="N3" s="281"/>
      <c r="O3" s="281"/>
    </row>
    <row r="4" spans="1:18" ht="15.75">
      <c r="A4" s="287" t="s">
        <v>427</v>
      </c>
      <c r="B4" s="288"/>
      <c r="C4" s="288"/>
      <c r="D4" s="288"/>
      <c r="E4" s="288"/>
      <c r="F4" s="281"/>
      <c r="G4" s="281"/>
      <c r="H4" s="281"/>
      <c r="I4" s="281"/>
      <c r="J4" s="281"/>
      <c r="K4" s="281"/>
      <c r="L4" s="281"/>
      <c r="M4" s="281"/>
      <c r="N4" s="281"/>
      <c r="O4" s="281"/>
    </row>
    <row r="5" spans="1:18" ht="5.25" customHeight="1">
      <c r="A5" s="279" t="s">
        <v>346</v>
      </c>
      <c r="B5" s="281"/>
      <c r="C5" s="281"/>
      <c r="D5" s="281"/>
      <c r="E5" s="281"/>
      <c r="F5" s="281"/>
    </row>
    <row r="6" spans="1:18" ht="3.75" customHeight="1">
      <c r="A6" t="s">
        <v>346</v>
      </c>
      <c r="E6" s="153"/>
    </row>
    <row r="7" spans="1:18" ht="9" customHeight="1" thickBot="1">
      <c r="A7" s="91"/>
      <c r="B7" s="91"/>
      <c r="C7" s="91"/>
      <c r="D7" s="91"/>
      <c r="E7" s="92"/>
    </row>
    <row r="8" spans="1:18" s="1" customFormat="1" ht="13.5" thickTop="1">
      <c r="C8" s="82" t="s">
        <v>360</v>
      </c>
      <c r="D8" s="82">
        <v>2023</v>
      </c>
      <c r="E8" s="82" t="s">
        <v>435</v>
      </c>
      <c r="F8" s="82" t="s">
        <v>413</v>
      </c>
      <c r="K8" s="232" t="s">
        <v>436</v>
      </c>
      <c r="L8" s="115" t="s">
        <v>360</v>
      </c>
      <c r="M8" s="82" t="s">
        <v>415</v>
      </c>
      <c r="N8" s="14" t="s">
        <v>424</v>
      </c>
      <c r="O8" s="144" t="s">
        <v>417</v>
      </c>
    </row>
    <row r="9" spans="1:18" s="19" customFormat="1" ht="29.1" customHeight="1" thickBot="1">
      <c r="C9" s="83" t="s">
        <v>381</v>
      </c>
      <c r="D9" s="83" t="s">
        <v>406</v>
      </c>
      <c r="E9" s="83">
        <v>2023</v>
      </c>
      <c r="F9" s="83">
        <v>2024</v>
      </c>
      <c r="K9" s="233">
        <v>2024</v>
      </c>
      <c r="L9" s="62">
        <v>2025</v>
      </c>
      <c r="M9" s="187">
        <v>45869</v>
      </c>
      <c r="N9" s="20">
        <v>2025</v>
      </c>
      <c r="O9" s="207" t="s">
        <v>428</v>
      </c>
    </row>
    <row r="10" spans="1:18" ht="12.75" customHeight="1" thickTop="1">
      <c r="B10" s="2" t="s">
        <v>267</v>
      </c>
      <c r="C10" s="36"/>
      <c r="D10" s="52"/>
      <c r="E10" s="36"/>
      <c r="F10" s="36"/>
      <c r="L10" s="36"/>
      <c r="M10" s="36"/>
      <c r="N10" s="36"/>
      <c r="O10" s="160"/>
    </row>
    <row r="11" spans="1:18" ht="2.25" customHeight="1">
      <c r="B11" s="2"/>
      <c r="C11" s="36"/>
      <c r="D11" s="52"/>
      <c r="E11" s="36"/>
      <c r="F11" s="36"/>
      <c r="L11" s="36"/>
      <c r="M11" s="36"/>
      <c r="N11" s="36"/>
      <c r="O11" s="160"/>
    </row>
    <row r="12" spans="1:18" ht="12.75" customHeight="1">
      <c r="A12" t="s">
        <v>254</v>
      </c>
      <c r="B12" t="s">
        <v>255</v>
      </c>
      <c r="C12" s="84">
        <v>576400</v>
      </c>
      <c r="D12" s="84">
        <v>502857</v>
      </c>
      <c r="E12" s="84">
        <v>645327</v>
      </c>
      <c r="F12" s="84">
        <v>590000</v>
      </c>
      <c r="G12" s="84"/>
      <c r="H12" s="84"/>
      <c r="I12" s="84"/>
      <c r="J12" s="84"/>
      <c r="K12" s="84">
        <v>644833</v>
      </c>
      <c r="L12" s="146">
        <v>598000</v>
      </c>
      <c r="M12" s="84">
        <v>390350</v>
      </c>
      <c r="N12" s="146">
        <v>598000</v>
      </c>
      <c r="O12" s="143">
        <v>756448</v>
      </c>
      <c r="Q12" s="22"/>
    </row>
    <row r="13" spans="1:18" ht="12.75" customHeight="1">
      <c r="A13" t="s">
        <v>256</v>
      </c>
      <c r="B13" t="s">
        <v>257</v>
      </c>
      <c r="C13" s="52">
        <v>422400</v>
      </c>
      <c r="D13" s="52">
        <v>368104</v>
      </c>
      <c r="E13" s="52">
        <v>491234</v>
      </c>
      <c r="F13" s="52">
        <v>489000</v>
      </c>
      <c r="G13" s="52"/>
      <c r="H13" s="52"/>
      <c r="I13" s="52"/>
      <c r="J13" s="52"/>
      <c r="K13" s="52">
        <v>494965</v>
      </c>
      <c r="L13" s="52">
        <v>489000</v>
      </c>
      <c r="M13" s="52">
        <v>295198</v>
      </c>
      <c r="N13" s="52">
        <v>489000</v>
      </c>
      <c r="O13" s="158">
        <v>538847</v>
      </c>
      <c r="Q13" s="22"/>
    </row>
    <row r="14" spans="1:18" ht="12.75" customHeight="1">
      <c r="A14"/>
      <c r="B14" s="22" t="s">
        <v>391</v>
      </c>
      <c r="C14" s="52"/>
      <c r="D14" s="52"/>
      <c r="E14" s="52">
        <v>0</v>
      </c>
      <c r="F14" s="52">
        <v>0</v>
      </c>
      <c r="G14" s="52"/>
      <c r="H14" s="52"/>
      <c r="I14" s="52"/>
      <c r="J14" s="52"/>
      <c r="K14" s="52">
        <v>0</v>
      </c>
      <c r="L14" s="52">
        <v>0</v>
      </c>
      <c r="M14" s="263">
        <v>255180</v>
      </c>
      <c r="N14" s="263">
        <v>275055</v>
      </c>
      <c r="O14" s="264">
        <v>275055</v>
      </c>
      <c r="Q14" s="22"/>
    </row>
    <row r="15" spans="1:18" ht="12.75" customHeight="1">
      <c r="A15" t="s">
        <v>258</v>
      </c>
      <c r="B15" t="s">
        <v>259</v>
      </c>
      <c r="C15" s="52">
        <v>15000</v>
      </c>
      <c r="D15" s="52">
        <v>15525</v>
      </c>
      <c r="E15" s="52">
        <v>10315</v>
      </c>
      <c r="F15" s="52">
        <v>15000</v>
      </c>
      <c r="G15" s="52"/>
      <c r="H15" s="52"/>
      <c r="I15" s="52"/>
      <c r="J15" s="52"/>
      <c r="K15" s="52">
        <v>12150</v>
      </c>
      <c r="L15" s="52">
        <v>15000</v>
      </c>
      <c r="M15" s="52">
        <v>13800</v>
      </c>
      <c r="N15" s="52">
        <v>15000</v>
      </c>
      <c r="O15" s="158">
        <v>16000</v>
      </c>
    </row>
    <row r="16" spans="1:18" customFormat="1" ht="12.75" customHeight="1">
      <c r="A16" t="s">
        <v>34</v>
      </c>
      <c r="B16" t="s">
        <v>35</v>
      </c>
      <c r="C16" s="52">
        <v>43750</v>
      </c>
      <c r="D16" s="52">
        <v>55100</v>
      </c>
      <c r="E16" s="52">
        <v>64200</v>
      </c>
      <c r="F16" s="52">
        <v>43750</v>
      </c>
      <c r="G16" s="52"/>
      <c r="H16" s="52"/>
      <c r="I16" s="52"/>
      <c r="J16" s="52"/>
      <c r="K16" s="52">
        <v>49700</v>
      </c>
      <c r="L16" s="52">
        <v>44000</v>
      </c>
      <c r="M16" s="52">
        <v>25900</v>
      </c>
      <c r="N16" s="52">
        <v>44000</v>
      </c>
      <c r="O16" s="158">
        <v>44000</v>
      </c>
      <c r="Q16" s="146"/>
      <c r="R16" s="146"/>
    </row>
    <row r="17" spans="1:18" ht="12.75" customHeight="1">
      <c r="A17" s="22" t="s">
        <v>22</v>
      </c>
      <c r="B17" s="22" t="s">
        <v>404</v>
      </c>
      <c r="C17" s="52">
        <v>12500</v>
      </c>
      <c r="D17" s="52">
        <v>20100</v>
      </c>
      <c r="E17" s="52">
        <v>28600</v>
      </c>
      <c r="F17" s="52">
        <v>15000</v>
      </c>
      <c r="G17" s="52"/>
      <c r="H17" s="52"/>
      <c r="I17" s="52"/>
      <c r="J17" s="52"/>
      <c r="K17" s="52">
        <v>29500</v>
      </c>
      <c r="L17" s="52">
        <v>18000</v>
      </c>
      <c r="M17" s="52">
        <v>27000</v>
      </c>
      <c r="N17" s="52">
        <v>27000</v>
      </c>
      <c r="O17" s="158">
        <v>30000</v>
      </c>
    </row>
    <row r="18" spans="1:18" ht="12.75" customHeight="1">
      <c r="A18" t="s">
        <v>261</v>
      </c>
      <c r="B18" t="s">
        <v>262</v>
      </c>
      <c r="C18" s="52">
        <v>12000</v>
      </c>
      <c r="D18" s="52">
        <v>14830</v>
      </c>
      <c r="E18" s="52">
        <v>14830</v>
      </c>
      <c r="F18" s="52">
        <v>14000</v>
      </c>
      <c r="G18" s="52"/>
      <c r="H18" s="52"/>
      <c r="I18" s="52"/>
      <c r="J18" s="52"/>
      <c r="K18" s="52">
        <v>32852</v>
      </c>
      <c r="L18" s="52">
        <v>25000</v>
      </c>
      <c r="M18" s="52">
        <v>32853</v>
      </c>
      <c r="N18" s="52">
        <v>32853</v>
      </c>
      <c r="O18" s="158">
        <v>32000</v>
      </c>
    </row>
    <row r="19" spans="1:18" ht="12.75" customHeight="1">
      <c r="A19">
        <v>30000</v>
      </c>
      <c r="B19" t="s">
        <v>263</v>
      </c>
      <c r="C19" s="52">
        <v>10000</v>
      </c>
      <c r="D19" s="52">
        <v>40000</v>
      </c>
      <c r="E19" s="52">
        <v>40000</v>
      </c>
      <c r="F19" s="52">
        <v>20000</v>
      </c>
      <c r="G19" s="52"/>
      <c r="H19" s="52"/>
      <c r="I19" s="52"/>
      <c r="J19" s="52"/>
      <c r="K19" s="52">
        <v>40000</v>
      </c>
      <c r="L19" s="52">
        <v>30000</v>
      </c>
      <c r="M19" s="52">
        <v>30000</v>
      </c>
      <c r="N19" s="52">
        <v>30000</v>
      </c>
      <c r="O19" s="158">
        <v>30000</v>
      </c>
    </row>
    <row r="20" spans="1:18" ht="12.75" customHeight="1">
      <c r="A20" t="s">
        <v>264</v>
      </c>
      <c r="B20" s="22" t="s">
        <v>405</v>
      </c>
      <c r="C20" s="52">
        <v>42000</v>
      </c>
      <c r="D20" s="52">
        <v>50861</v>
      </c>
      <c r="E20" s="52">
        <v>53035</v>
      </c>
      <c r="F20" s="52">
        <v>45000</v>
      </c>
      <c r="G20" s="52"/>
      <c r="H20" s="52"/>
      <c r="I20" s="52">
        <f>94+56</f>
        <v>150</v>
      </c>
      <c r="J20" s="52"/>
      <c r="K20" s="52">
        <v>74050</v>
      </c>
      <c r="L20" s="52">
        <v>55000</v>
      </c>
      <c r="M20" s="52">
        <v>29200</v>
      </c>
      <c r="N20" s="52">
        <v>55000</v>
      </c>
      <c r="O20" s="158">
        <v>40000</v>
      </c>
      <c r="R20" s="147"/>
    </row>
    <row r="21" spans="1:18" ht="12.75" customHeight="1">
      <c r="A21"/>
      <c r="B21" s="22" t="s">
        <v>407</v>
      </c>
      <c r="C21" s="52">
        <v>0</v>
      </c>
      <c r="D21" s="52">
        <v>22302</v>
      </c>
      <c r="E21" s="52">
        <v>103033</v>
      </c>
      <c r="F21" s="52">
        <v>22000</v>
      </c>
      <c r="G21" s="52"/>
      <c r="H21" s="52"/>
      <c r="I21" s="52"/>
      <c r="J21" s="52"/>
      <c r="K21" s="52">
        <v>10000</v>
      </c>
      <c r="L21" s="52">
        <v>20000</v>
      </c>
      <c r="M21" s="52">
        <v>0</v>
      </c>
      <c r="N21" s="52">
        <v>20000</v>
      </c>
      <c r="O21" s="158">
        <v>20000</v>
      </c>
    </row>
    <row r="22" spans="1:18" ht="12.75" customHeight="1">
      <c r="A22" t="s">
        <v>186</v>
      </c>
      <c r="B22" t="s">
        <v>187</v>
      </c>
      <c r="C22" s="52">
        <v>1800</v>
      </c>
      <c r="D22" s="52">
        <v>1350</v>
      </c>
      <c r="E22" s="52">
        <v>1800</v>
      </c>
      <c r="F22" s="52">
        <v>1800</v>
      </c>
      <c r="G22" s="52"/>
      <c r="H22" s="52"/>
      <c r="I22" s="52"/>
      <c r="J22" s="52"/>
      <c r="K22" s="52">
        <v>1800</v>
      </c>
      <c r="L22" s="52">
        <v>1800</v>
      </c>
      <c r="M22" s="52">
        <v>900</v>
      </c>
      <c r="N22" s="52">
        <v>1800</v>
      </c>
      <c r="O22" s="158">
        <v>1800</v>
      </c>
    </row>
    <row r="23" spans="1:18" ht="12.75" customHeight="1">
      <c r="A23" t="s">
        <v>346</v>
      </c>
      <c r="B23" s="22" t="s">
        <v>446</v>
      </c>
      <c r="C23" s="52">
        <v>1000</v>
      </c>
      <c r="D23" s="52">
        <v>11054</v>
      </c>
      <c r="E23" s="52">
        <v>11054</v>
      </c>
      <c r="F23" s="52">
        <v>1000</v>
      </c>
      <c r="G23" s="52"/>
      <c r="H23" s="52"/>
      <c r="I23" s="52"/>
      <c r="J23" s="52"/>
      <c r="K23" s="52">
        <v>14036</v>
      </c>
      <c r="L23" s="52">
        <v>2000</v>
      </c>
      <c r="M23" s="52">
        <v>6879</v>
      </c>
      <c r="N23" s="52">
        <v>7200</v>
      </c>
      <c r="O23" s="158">
        <v>10000</v>
      </c>
    </row>
    <row r="24" spans="1:18" ht="12.75" customHeight="1">
      <c r="A24" t="s">
        <v>16</v>
      </c>
      <c r="B24" t="s">
        <v>235</v>
      </c>
      <c r="C24" s="52">
        <v>7500</v>
      </c>
      <c r="D24" s="52">
        <v>16351</v>
      </c>
      <c r="E24" s="52">
        <v>27326</v>
      </c>
      <c r="F24" s="52">
        <v>13750</v>
      </c>
      <c r="G24" s="52"/>
      <c r="H24" s="52"/>
      <c r="I24" s="52"/>
      <c r="J24" s="52"/>
      <c r="K24" s="52">
        <v>62232</v>
      </c>
      <c r="L24" s="52">
        <v>35000</v>
      </c>
      <c r="M24" s="52">
        <v>39193</v>
      </c>
      <c r="N24" s="52">
        <v>62000</v>
      </c>
      <c r="O24" s="158">
        <v>45000</v>
      </c>
      <c r="Q24" s="22"/>
    </row>
    <row r="25" spans="1:18" ht="12.75" customHeight="1">
      <c r="A25"/>
      <c r="B25" s="22" t="s">
        <v>385</v>
      </c>
      <c r="C25" s="52">
        <v>8000</v>
      </c>
      <c r="D25" s="52">
        <v>6337</v>
      </c>
      <c r="E25" s="52">
        <v>6336</v>
      </c>
      <c r="F25" s="52">
        <v>6000</v>
      </c>
      <c r="G25" s="52"/>
      <c r="H25" s="52"/>
      <c r="I25" s="52"/>
      <c r="J25" s="52"/>
      <c r="K25" s="52">
        <v>7275</v>
      </c>
      <c r="L25" s="52">
        <v>6000</v>
      </c>
      <c r="M25" s="52">
        <v>0</v>
      </c>
      <c r="N25" s="52">
        <v>6000</v>
      </c>
      <c r="O25" s="158">
        <v>6000</v>
      </c>
    </row>
    <row r="26" spans="1:18" ht="15.95" customHeight="1">
      <c r="A26"/>
      <c r="B26" t="s">
        <v>286</v>
      </c>
      <c r="C26" s="87">
        <f>SUM(C12:C25)</f>
        <v>1152350</v>
      </c>
      <c r="D26" s="87">
        <f>SUM(D12:D25)</f>
        <v>1124771</v>
      </c>
      <c r="E26" s="87">
        <f>SUM(E12:E25)</f>
        <v>1497090</v>
      </c>
      <c r="F26" s="87">
        <f>SUM(F12:F25)</f>
        <v>1276300</v>
      </c>
      <c r="G26" s="87"/>
      <c r="H26" s="87"/>
      <c r="I26" s="87"/>
      <c r="J26" s="87"/>
      <c r="K26" s="87">
        <f>SUM(K12:K25)</f>
        <v>1473393</v>
      </c>
      <c r="L26" s="222">
        <f>SUM(L12:L25)</f>
        <v>1338800</v>
      </c>
      <c r="M26" s="87">
        <f>SUM(M12:M25)</f>
        <v>1146453</v>
      </c>
      <c r="N26" s="222">
        <f>SUM(N12:N25)</f>
        <v>1662908</v>
      </c>
      <c r="O26" s="248">
        <f>SUM(O12:O25)</f>
        <v>1845150</v>
      </c>
    </row>
    <row r="27" spans="1:18" ht="2.1" customHeight="1">
      <c r="A27"/>
      <c r="B27"/>
      <c r="C27" s="88"/>
      <c r="D27" s="88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09"/>
    </row>
    <row r="28" spans="1:18" ht="5.0999999999999996" customHeight="1">
      <c r="A28"/>
      <c r="B28"/>
      <c r="C28" s="101"/>
      <c r="D28" s="10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158"/>
    </row>
    <row r="29" spans="1:18" ht="5.0999999999999996" customHeight="1">
      <c r="A29"/>
      <c r="B29"/>
      <c r="C29" s="101"/>
      <c r="D29" s="10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158"/>
    </row>
    <row r="30" spans="1:18" ht="20.100000000000001" customHeight="1">
      <c r="A30"/>
      <c r="B30" s="5" t="s">
        <v>268</v>
      </c>
      <c r="C30" s="101"/>
      <c r="D30" s="10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158"/>
    </row>
    <row r="31" spans="1:18" ht="3.95" customHeight="1">
      <c r="A31"/>
      <c r="B3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158"/>
    </row>
    <row r="32" spans="1:18" ht="12.75" customHeight="1">
      <c r="A32"/>
      <c r="B32" s="5" t="s">
        <v>86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158"/>
    </row>
    <row r="33" spans="1:17" ht="3.95" customHeight="1">
      <c r="A33"/>
      <c r="B3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158"/>
    </row>
    <row r="34" spans="1:17" ht="12.75" customHeight="1">
      <c r="A34" t="s">
        <v>189</v>
      </c>
      <c r="B34" t="s">
        <v>190</v>
      </c>
      <c r="C34" s="84">
        <v>85000</v>
      </c>
      <c r="D34" s="84">
        <v>35380</v>
      </c>
      <c r="E34" s="84">
        <v>40179</v>
      </c>
      <c r="F34" s="84">
        <v>30000</v>
      </c>
      <c r="G34" s="84"/>
      <c r="H34" s="84">
        <v>34815</v>
      </c>
      <c r="I34" s="84">
        <f>34815-2901</f>
        <v>31914</v>
      </c>
      <c r="J34" s="84"/>
      <c r="K34" s="84">
        <v>20475</v>
      </c>
      <c r="L34" s="84">
        <v>25000</v>
      </c>
      <c r="M34" s="84">
        <v>6525</v>
      </c>
      <c r="N34" s="84">
        <v>25000</v>
      </c>
      <c r="O34" s="143">
        <v>25750</v>
      </c>
    </row>
    <row r="35" spans="1:17" ht="12.75" customHeight="1">
      <c r="A35" t="s">
        <v>191</v>
      </c>
      <c r="B35" t="s">
        <v>192</v>
      </c>
      <c r="C35" s="52">
        <v>9000</v>
      </c>
      <c r="D35" s="52">
        <v>6569</v>
      </c>
      <c r="E35" s="52">
        <v>12465</v>
      </c>
      <c r="F35" s="52">
        <v>9000</v>
      </c>
      <c r="G35" s="52"/>
      <c r="H35" s="52">
        <f>34815/12</f>
        <v>2901.25</v>
      </c>
      <c r="I35" s="52"/>
      <c r="J35" s="52"/>
      <c r="K35" s="52">
        <v>18112</v>
      </c>
      <c r="L35" s="52">
        <v>15000</v>
      </c>
      <c r="M35" s="52">
        <v>2343</v>
      </c>
      <c r="N35" s="52">
        <v>15000</v>
      </c>
      <c r="O35" s="158">
        <v>15450</v>
      </c>
      <c r="Q35" s="22"/>
    </row>
    <row r="36" spans="1:17" ht="12.75" customHeight="1">
      <c r="A36" t="s">
        <v>193</v>
      </c>
      <c r="B36" s="95" t="s">
        <v>354</v>
      </c>
      <c r="C36" s="52">
        <v>38000</v>
      </c>
      <c r="D36" s="52">
        <v>28039</v>
      </c>
      <c r="E36" s="52">
        <v>38261</v>
      </c>
      <c r="F36" s="52">
        <v>40000</v>
      </c>
      <c r="G36" s="52"/>
      <c r="H36" s="52"/>
      <c r="I36" s="52"/>
      <c r="J36" s="52"/>
      <c r="K36" s="52">
        <v>41472</v>
      </c>
      <c r="L36" s="52">
        <v>45000</v>
      </c>
      <c r="M36" s="52">
        <v>23400</v>
      </c>
      <c r="N36" s="52">
        <v>45000</v>
      </c>
      <c r="O36" s="158">
        <v>46350</v>
      </c>
    </row>
    <row r="37" spans="1:17" ht="12.75" customHeight="1">
      <c r="A37" t="s">
        <v>194</v>
      </c>
      <c r="B37" t="s">
        <v>102</v>
      </c>
      <c r="C37" s="52">
        <v>1000</v>
      </c>
      <c r="D37" s="52">
        <v>852</v>
      </c>
      <c r="E37" s="52">
        <v>887</v>
      </c>
      <c r="F37" s="52">
        <v>2500</v>
      </c>
      <c r="G37" s="52"/>
      <c r="H37" s="52"/>
      <c r="I37" s="52"/>
      <c r="J37" s="52"/>
      <c r="K37" s="52">
        <v>295</v>
      </c>
      <c r="L37" s="52">
        <v>2500</v>
      </c>
      <c r="M37" s="263">
        <v>317</v>
      </c>
      <c r="N37" s="263">
        <v>3100</v>
      </c>
      <c r="O37" s="264">
        <v>3175</v>
      </c>
    </row>
    <row r="38" spans="1:17" ht="12.75" customHeight="1">
      <c r="A38" t="s">
        <v>87</v>
      </c>
      <c r="B38" t="s">
        <v>236</v>
      </c>
      <c r="C38" s="52">
        <v>1000</v>
      </c>
      <c r="D38" s="52">
        <v>164</v>
      </c>
      <c r="E38" s="52">
        <v>359</v>
      </c>
      <c r="F38" s="52">
        <v>500</v>
      </c>
      <c r="G38" s="52"/>
      <c r="H38" s="52"/>
      <c r="I38" s="52">
        <f>1842-567</f>
        <v>1275</v>
      </c>
      <c r="J38" s="52"/>
      <c r="K38" s="52">
        <v>500</v>
      </c>
      <c r="L38" s="52">
        <v>500</v>
      </c>
      <c r="M38" s="52">
        <v>381</v>
      </c>
      <c r="N38" s="52">
        <v>500</v>
      </c>
      <c r="O38" s="158">
        <v>515</v>
      </c>
    </row>
    <row r="39" spans="1:17" ht="12.75" customHeight="1">
      <c r="A39" t="s">
        <v>88</v>
      </c>
      <c r="B39" t="s">
        <v>89</v>
      </c>
      <c r="C39" s="52">
        <v>750</v>
      </c>
      <c r="D39" s="52">
        <v>259</v>
      </c>
      <c r="E39" s="52">
        <v>259</v>
      </c>
      <c r="F39" s="52">
        <v>250</v>
      </c>
      <c r="G39" s="52"/>
      <c r="H39" s="52"/>
      <c r="I39" s="52"/>
      <c r="J39" s="52"/>
      <c r="K39" s="52">
        <v>301</v>
      </c>
      <c r="L39" s="52">
        <v>500</v>
      </c>
      <c r="M39" s="52">
        <v>213</v>
      </c>
      <c r="N39" s="52">
        <v>500</v>
      </c>
      <c r="O39" s="158">
        <v>2000</v>
      </c>
    </row>
    <row r="40" spans="1:17" ht="12.75" customHeight="1">
      <c r="A40" t="s">
        <v>17</v>
      </c>
      <c r="B40" t="s">
        <v>18</v>
      </c>
      <c r="C40" s="52">
        <v>1500</v>
      </c>
      <c r="D40" s="52">
        <v>1164</v>
      </c>
      <c r="E40" s="52">
        <v>1485</v>
      </c>
      <c r="F40" s="52">
        <v>2000</v>
      </c>
      <c r="G40" s="52"/>
      <c r="H40" s="52" t="s">
        <v>376</v>
      </c>
      <c r="I40" s="52"/>
      <c r="J40" s="52"/>
      <c r="K40" s="52">
        <v>1968</v>
      </c>
      <c r="L40" s="52">
        <v>2600</v>
      </c>
      <c r="M40" s="52">
        <v>1378</v>
      </c>
      <c r="N40" s="52">
        <v>2600</v>
      </c>
      <c r="O40" s="158">
        <v>2600</v>
      </c>
      <c r="Q40" s="22"/>
    </row>
    <row r="41" spans="1:17" ht="12.75" customHeight="1">
      <c r="A41" t="s">
        <v>90</v>
      </c>
      <c r="B41" t="s">
        <v>239</v>
      </c>
      <c r="C41" s="52">
        <v>3500</v>
      </c>
      <c r="D41" s="52">
        <v>1863</v>
      </c>
      <c r="E41" s="52">
        <v>2366</v>
      </c>
      <c r="F41" s="52">
        <v>3500</v>
      </c>
      <c r="G41" s="52"/>
      <c r="H41" s="52"/>
      <c r="I41" s="52"/>
      <c r="J41" s="52"/>
      <c r="K41" s="52">
        <v>2475</v>
      </c>
      <c r="L41" s="52">
        <v>3000</v>
      </c>
      <c r="M41" s="52">
        <v>743</v>
      </c>
      <c r="N41" s="52">
        <v>3000</v>
      </c>
      <c r="O41" s="158">
        <v>3090</v>
      </c>
    </row>
    <row r="42" spans="1:17" ht="12.75" customHeight="1">
      <c r="A42" t="s">
        <v>91</v>
      </c>
      <c r="B42" s="22" t="s">
        <v>3</v>
      </c>
      <c r="C42" s="52">
        <v>2880</v>
      </c>
      <c r="D42" s="52">
        <v>1782</v>
      </c>
      <c r="E42" s="52">
        <v>2655</v>
      </c>
      <c r="F42" s="52">
        <v>2880</v>
      </c>
      <c r="G42" s="52"/>
      <c r="H42" s="52"/>
      <c r="I42" s="52"/>
      <c r="J42" s="52"/>
      <c r="K42" s="52">
        <v>2411</v>
      </c>
      <c r="L42" s="52">
        <v>2880</v>
      </c>
      <c r="M42" s="52">
        <v>1410</v>
      </c>
      <c r="N42" s="52">
        <v>2880</v>
      </c>
      <c r="O42" s="158">
        <v>2966</v>
      </c>
    </row>
    <row r="43" spans="1:17" ht="12.75" customHeight="1">
      <c r="A43" t="s">
        <v>195</v>
      </c>
      <c r="B43" t="s">
        <v>196</v>
      </c>
      <c r="C43" s="52">
        <v>2500</v>
      </c>
      <c r="D43" s="52">
        <v>2101</v>
      </c>
      <c r="E43" s="52">
        <v>3158</v>
      </c>
      <c r="F43" s="52">
        <v>2500</v>
      </c>
      <c r="G43" s="52"/>
      <c r="H43" s="52"/>
      <c r="I43" s="52"/>
      <c r="J43" s="52"/>
      <c r="K43" s="52">
        <v>1773</v>
      </c>
      <c r="L43" s="52">
        <v>2500</v>
      </c>
      <c r="M43" s="52">
        <v>370</v>
      </c>
      <c r="N43" s="52">
        <v>2500</v>
      </c>
      <c r="O43" s="158">
        <v>2500</v>
      </c>
    </row>
    <row r="44" spans="1:17" ht="12.75" customHeight="1">
      <c r="A44" t="s">
        <v>92</v>
      </c>
      <c r="B44" t="s">
        <v>93</v>
      </c>
      <c r="C44" s="52">
        <v>3800</v>
      </c>
      <c r="D44" s="52">
        <v>2792</v>
      </c>
      <c r="E44" s="52">
        <v>3217</v>
      </c>
      <c r="F44" s="52">
        <v>3800</v>
      </c>
      <c r="G44" s="52"/>
      <c r="H44" s="52"/>
      <c r="I44" s="52"/>
      <c r="J44" s="52"/>
      <c r="K44" s="52">
        <v>3450</v>
      </c>
      <c r="L44" s="52">
        <v>3800</v>
      </c>
      <c r="M44" s="52">
        <v>1734</v>
      </c>
      <c r="N44" s="52">
        <v>3800</v>
      </c>
      <c r="O44" s="158">
        <v>3900</v>
      </c>
      <c r="Q44" s="22"/>
    </row>
    <row r="45" spans="1:17" ht="12.75" customHeight="1">
      <c r="A45" t="s">
        <v>197</v>
      </c>
      <c r="B45" t="s">
        <v>198</v>
      </c>
      <c r="C45" s="52">
        <v>1500</v>
      </c>
      <c r="D45" s="52">
        <v>6968</v>
      </c>
      <c r="E45" s="52">
        <v>9856</v>
      </c>
      <c r="F45" s="52">
        <v>2500</v>
      </c>
      <c r="G45" s="52"/>
      <c r="H45" s="52"/>
      <c r="I45" s="52"/>
      <c r="J45" s="52"/>
      <c r="K45" s="52">
        <v>1282</v>
      </c>
      <c r="L45" s="52">
        <v>4000</v>
      </c>
      <c r="M45" s="52">
        <v>0</v>
      </c>
      <c r="N45" s="52">
        <v>4000</v>
      </c>
      <c r="O45" s="158">
        <v>3000</v>
      </c>
      <c r="Q45" s="22"/>
    </row>
    <row r="46" spans="1:17" ht="12.75" customHeight="1">
      <c r="A46" t="s">
        <v>199</v>
      </c>
      <c r="B46" t="s">
        <v>200</v>
      </c>
      <c r="C46" s="52">
        <v>3500</v>
      </c>
      <c r="D46" s="52">
        <v>2659</v>
      </c>
      <c r="E46" s="52">
        <v>2952</v>
      </c>
      <c r="F46" s="52">
        <v>4000</v>
      </c>
      <c r="G46" s="52"/>
      <c r="H46" s="52"/>
      <c r="I46" s="52"/>
      <c r="J46" s="52">
        <v>2021</v>
      </c>
      <c r="K46" s="52">
        <v>2892</v>
      </c>
      <c r="L46" s="52">
        <v>4500</v>
      </c>
      <c r="M46" s="52">
        <v>1638</v>
      </c>
      <c r="N46" s="52">
        <v>4500</v>
      </c>
      <c r="O46" s="158">
        <v>4635</v>
      </c>
    </row>
    <row r="47" spans="1:17" ht="12.75" customHeight="1">
      <c r="A47" s="22" t="s">
        <v>4</v>
      </c>
      <c r="B47" s="22" t="s">
        <v>5</v>
      </c>
      <c r="C47" s="52">
        <v>12300</v>
      </c>
      <c r="D47" s="52">
        <v>15116</v>
      </c>
      <c r="E47" s="52">
        <v>15160</v>
      </c>
      <c r="F47" s="52">
        <v>16000</v>
      </c>
      <c r="G47" s="52"/>
      <c r="H47" s="52"/>
      <c r="I47" s="52"/>
      <c r="J47" s="52">
        <v>2931.24</v>
      </c>
      <c r="K47" s="52">
        <v>15089</v>
      </c>
      <c r="L47" s="52">
        <v>18000</v>
      </c>
      <c r="M47" s="52">
        <v>17654</v>
      </c>
      <c r="N47" s="52">
        <v>18000</v>
      </c>
      <c r="O47" s="158">
        <v>25000</v>
      </c>
      <c r="Q47" s="22"/>
    </row>
    <row r="48" spans="1:17" ht="12.75" customHeight="1">
      <c r="A48">
        <v>500</v>
      </c>
      <c r="B48" t="s">
        <v>56</v>
      </c>
      <c r="C48" s="52">
        <v>900</v>
      </c>
      <c r="D48" s="52">
        <v>381</v>
      </c>
      <c r="E48" s="52">
        <v>381</v>
      </c>
      <c r="F48" s="52">
        <v>500</v>
      </c>
      <c r="G48" s="52"/>
      <c r="H48" s="52"/>
      <c r="I48" s="52"/>
      <c r="J48" s="52">
        <v>250</v>
      </c>
      <c r="K48" s="52">
        <v>820</v>
      </c>
      <c r="L48" s="52">
        <v>1000</v>
      </c>
      <c r="M48" s="52">
        <v>0</v>
      </c>
      <c r="N48" s="52">
        <v>1000</v>
      </c>
      <c r="O48" s="158">
        <v>1030</v>
      </c>
      <c r="Q48" s="22"/>
    </row>
    <row r="49" spans="1:21" ht="12.75" customHeight="1">
      <c r="A49" t="s">
        <v>346</v>
      </c>
      <c r="B49" s="22" t="s">
        <v>27</v>
      </c>
      <c r="C49" s="52">
        <v>4000</v>
      </c>
      <c r="D49" s="52">
        <v>999</v>
      </c>
      <c r="E49" s="52">
        <v>3831</v>
      </c>
      <c r="F49" s="52">
        <v>3500</v>
      </c>
      <c r="G49" s="52"/>
      <c r="H49" s="52"/>
      <c r="I49" s="52"/>
      <c r="J49" s="52">
        <v>386.21</v>
      </c>
      <c r="K49" s="52">
        <v>89</v>
      </c>
      <c r="L49" s="52">
        <v>3500</v>
      </c>
      <c r="M49" s="52">
        <v>0</v>
      </c>
      <c r="N49" s="52">
        <v>3500</v>
      </c>
      <c r="O49" s="158">
        <v>3600</v>
      </c>
      <c r="Q49" s="22"/>
    </row>
    <row r="50" spans="1:21" ht="12.75" customHeight="1">
      <c r="A50" t="s">
        <v>37</v>
      </c>
      <c r="B50" t="s">
        <v>21</v>
      </c>
      <c r="C50" s="52">
        <v>2000</v>
      </c>
      <c r="D50" s="52">
        <v>4095</v>
      </c>
      <c r="E50" s="52">
        <v>5636</v>
      </c>
      <c r="F50" s="52">
        <v>3000</v>
      </c>
      <c r="G50" s="52"/>
      <c r="H50" s="52"/>
      <c r="I50" s="52"/>
      <c r="J50" s="52">
        <v>23.97</v>
      </c>
      <c r="K50" s="52">
        <v>1745</v>
      </c>
      <c r="L50" s="52">
        <v>3000</v>
      </c>
      <c r="M50" s="52">
        <v>924</v>
      </c>
      <c r="N50" s="52">
        <v>3000</v>
      </c>
      <c r="O50" s="158">
        <v>3090</v>
      </c>
      <c r="Q50" s="22"/>
    </row>
    <row r="51" spans="1:21" ht="12.75" customHeight="1">
      <c r="A51" t="s">
        <v>201</v>
      </c>
      <c r="B51" t="s">
        <v>202</v>
      </c>
      <c r="C51" s="52">
        <v>20000</v>
      </c>
      <c r="D51" s="52">
        <v>15818</v>
      </c>
      <c r="E51" s="52">
        <v>20539</v>
      </c>
      <c r="F51" s="52">
        <v>20000</v>
      </c>
      <c r="G51" s="52"/>
      <c r="H51" s="52">
        <f>407.12+372.62+411.5+36</f>
        <v>1227.24</v>
      </c>
      <c r="I51" s="52"/>
      <c r="J51" s="52">
        <v>202.57</v>
      </c>
      <c r="K51" s="52">
        <v>21708</v>
      </c>
      <c r="L51" s="52">
        <v>21000</v>
      </c>
      <c r="M51" s="52">
        <v>14932</v>
      </c>
      <c r="N51" s="52">
        <v>21000</v>
      </c>
      <c r="O51" s="158">
        <v>25000</v>
      </c>
      <c r="Q51" s="22"/>
    </row>
    <row r="52" spans="1:21" ht="12.75" customHeight="1">
      <c r="A52" t="s">
        <v>203</v>
      </c>
      <c r="B52" t="s">
        <v>240</v>
      </c>
      <c r="C52" s="52">
        <v>10000</v>
      </c>
      <c r="D52" s="52">
        <v>3686</v>
      </c>
      <c r="E52" s="52">
        <v>5404</v>
      </c>
      <c r="F52" s="52">
        <v>22000</v>
      </c>
      <c r="G52" s="52"/>
      <c r="H52" s="52"/>
      <c r="I52" s="52"/>
      <c r="J52" s="52">
        <v>125.08</v>
      </c>
      <c r="K52" s="52">
        <v>11973</v>
      </c>
      <c r="L52" s="52">
        <v>20000</v>
      </c>
      <c r="M52" s="52">
        <v>6722</v>
      </c>
      <c r="N52" s="52">
        <v>20000</v>
      </c>
      <c r="O52" s="158">
        <v>20600</v>
      </c>
      <c r="Q52" s="22"/>
      <c r="S52" s="22"/>
      <c r="U52" s="22"/>
    </row>
    <row r="53" spans="1:21" ht="12.75" customHeight="1">
      <c r="A53" t="s">
        <v>204</v>
      </c>
      <c r="B53" t="s">
        <v>241</v>
      </c>
      <c r="C53" s="52">
        <v>2500</v>
      </c>
      <c r="D53" s="52">
        <v>2703</v>
      </c>
      <c r="E53" s="52">
        <v>3592</v>
      </c>
      <c r="F53" s="52">
        <v>3500</v>
      </c>
      <c r="G53" s="52"/>
      <c r="H53" s="52"/>
      <c r="I53" s="52"/>
      <c r="J53" s="52">
        <v>44</v>
      </c>
      <c r="K53" s="52">
        <v>1245</v>
      </c>
      <c r="L53" s="52">
        <v>2600</v>
      </c>
      <c r="M53" s="52">
        <v>1137</v>
      </c>
      <c r="N53" s="52">
        <v>2600</v>
      </c>
      <c r="O53" s="158">
        <v>2678</v>
      </c>
    </row>
    <row r="54" spans="1:21" ht="12.75" customHeight="1">
      <c r="A54" t="s">
        <v>94</v>
      </c>
      <c r="B54" t="s">
        <v>242</v>
      </c>
      <c r="C54" s="52">
        <v>1600</v>
      </c>
      <c r="D54" s="52">
        <v>2948</v>
      </c>
      <c r="E54" s="52">
        <v>4176</v>
      </c>
      <c r="F54" s="52">
        <v>4000</v>
      </c>
      <c r="G54" s="52"/>
      <c r="H54" s="52"/>
      <c r="I54" s="52"/>
      <c r="J54" s="52">
        <v>490.07</v>
      </c>
      <c r="K54" s="52">
        <v>4332</v>
      </c>
      <c r="L54" s="52">
        <v>5500</v>
      </c>
      <c r="M54" s="52">
        <v>4150</v>
      </c>
      <c r="N54" s="52">
        <v>5500</v>
      </c>
      <c r="O54" s="158">
        <v>5665</v>
      </c>
    </row>
    <row r="55" spans="1:21" ht="12.75" customHeight="1">
      <c r="A55" t="s">
        <v>205</v>
      </c>
      <c r="B55" t="s">
        <v>206</v>
      </c>
      <c r="C55" s="52">
        <v>375</v>
      </c>
      <c r="D55" s="52">
        <v>557</v>
      </c>
      <c r="E55" s="52">
        <v>649</v>
      </c>
      <c r="F55" s="52">
        <v>800</v>
      </c>
      <c r="G55" s="52"/>
      <c r="H55" s="52"/>
      <c r="I55" s="52"/>
      <c r="J55" s="52">
        <v>109.71</v>
      </c>
      <c r="K55" s="52">
        <v>607</v>
      </c>
      <c r="L55" s="52">
        <v>1000</v>
      </c>
      <c r="M55" s="52">
        <v>667</v>
      </c>
      <c r="N55" s="52">
        <v>1000</v>
      </c>
      <c r="O55" s="158">
        <v>1030</v>
      </c>
      <c r="Q55" s="22"/>
    </row>
    <row r="56" spans="1:21" ht="12.75" customHeight="1">
      <c r="A56" t="s">
        <v>207</v>
      </c>
      <c r="B56" t="s">
        <v>243</v>
      </c>
      <c r="C56" s="52">
        <v>1200</v>
      </c>
      <c r="D56" s="52">
        <v>292</v>
      </c>
      <c r="E56" s="52">
        <v>2029</v>
      </c>
      <c r="F56" s="52">
        <v>2000</v>
      </c>
      <c r="G56" s="52"/>
      <c r="H56" s="52"/>
      <c r="I56" s="52"/>
      <c r="J56" s="52">
        <v>51</v>
      </c>
      <c r="K56" s="52">
        <v>1117</v>
      </c>
      <c r="L56" s="52">
        <v>3000</v>
      </c>
      <c r="M56" s="52">
        <v>923</v>
      </c>
      <c r="N56" s="52">
        <v>3000</v>
      </c>
      <c r="O56" s="158">
        <v>3090</v>
      </c>
    </row>
    <row r="57" spans="1:21" ht="12.75" customHeight="1">
      <c r="A57" t="s">
        <v>208</v>
      </c>
      <c r="B57" t="s">
        <v>209</v>
      </c>
      <c r="C57" s="52">
        <v>15000</v>
      </c>
      <c r="D57" s="52">
        <v>5637</v>
      </c>
      <c r="E57" s="52">
        <v>8471</v>
      </c>
      <c r="F57" s="52">
        <v>15000</v>
      </c>
      <c r="G57" s="52"/>
      <c r="H57" s="52"/>
      <c r="I57" s="52"/>
      <c r="J57" s="52">
        <v>135</v>
      </c>
      <c r="K57" s="52">
        <v>10247</v>
      </c>
      <c r="L57" s="52">
        <v>15000</v>
      </c>
      <c r="M57" s="52">
        <v>5116</v>
      </c>
      <c r="N57" s="52">
        <v>15000</v>
      </c>
      <c r="O57" s="158">
        <v>15450</v>
      </c>
    </row>
    <row r="58" spans="1:21" ht="12.75" customHeight="1">
      <c r="A58" t="s">
        <v>59</v>
      </c>
      <c r="B58" t="s">
        <v>60</v>
      </c>
      <c r="C58" s="52">
        <v>26000</v>
      </c>
      <c r="D58" s="52">
        <v>14412</v>
      </c>
      <c r="E58" s="52">
        <v>26014</v>
      </c>
      <c r="F58" s="52">
        <v>26000</v>
      </c>
      <c r="G58" s="52"/>
      <c r="H58" s="52"/>
      <c r="I58" s="52"/>
      <c r="J58" s="52">
        <v>7.92</v>
      </c>
      <c r="K58" s="52">
        <v>9171</v>
      </c>
      <c r="L58" s="52">
        <v>20000</v>
      </c>
      <c r="M58" s="52">
        <v>9843</v>
      </c>
      <c r="N58" s="52">
        <v>20000</v>
      </c>
      <c r="O58" s="158">
        <v>37100</v>
      </c>
      <c r="Q58" s="22"/>
    </row>
    <row r="59" spans="1:21" ht="12.75" customHeight="1">
      <c r="A59" t="s">
        <v>61</v>
      </c>
      <c r="B59" t="s">
        <v>244</v>
      </c>
      <c r="C59" s="52">
        <v>9000</v>
      </c>
      <c r="D59" s="52">
        <v>3713</v>
      </c>
      <c r="E59" s="52">
        <v>7504</v>
      </c>
      <c r="F59" s="52">
        <v>9000</v>
      </c>
      <c r="G59" s="52"/>
      <c r="H59" s="52"/>
      <c r="I59" s="52"/>
      <c r="J59" s="52">
        <v>20.55</v>
      </c>
      <c r="K59" s="52">
        <v>4641</v>
      </c>
      <c r="L59" s="52">
        <v>9000</v>
      </c>
      <c r="M59" s="52">
        <v>1752</v>
      </c>
      <c r="N59" s="52">
        <v>9000</v>
      </c>
      <c r="O59" s="158">
        <v>9270</v>
      </c>
    </row>
    <row r="60" spans="1:21" ht="12" customHeight="1">
      <c r="A60"/>
      <c r="B60" s="22" t="s">
        <v>408</v>
      </c>
      <c r="C60" s="52">
        <v>0</v>
      </c>
      <c r="D60" s="52">
        <v>19476</v>
      </c>
      <c r="E60" s="52">
        <v>103212</v>
      </c>
      <c r="F60" s="52">
        <v>22000</v>
      </c>
      <c r="G60" s="52"/>
      <c r="H60" s="52"/>
      <c r="I60" s="52"/>
      <c r="J60" s="52"/>
      <c r="K60" s="52">
        <v>10000</v>
      </c>
      <c r="L60" s="52">
        <v>20000</v>
      </c>
      <c r="M60" s="52">
        <v>0</v>
      </c>
      <c r="N60" s="52">
        <v>20000</v>
      </c>
      <c r="O60" s="158">
        <v>20600</v>
      </c>
    </row>
    <row r="61" spans="1:21" s="91" customFormat="1" ht="12.75" customHeight="1">
      <c r="A61" s="234" t="s">
        <v>46</v>
      </c>
      <c r="B61" s="236" t="s">
        <v>328</v>
      </c>
      <c r="C61" s="235">
        <v>30000</v>
      </c>
      <c r="D61" s="235">
        <v>5860</v>
      </c>
      <c r="E61" s="235">
        <v>8775</v>
      </c>
      <c r="F61" s="235">
        <v>20000</v>
      </c>
      <c r="G61" s="235"/>
      <c r="H61" s="235"/>
      <c r="I61" s="235"/>
      <c r="J61" s="235">
        <v>176.15</v>
      </c>
      <c r="K61" s="52">
        <f>23034+27</f>
        <v>23061</v>
      </c>
      <c r="L61" s="235">
        <v>24000</v>
      </c>
      <c r="M61" s="235">
        <v>10934</v>
      </c>
      <c r="N61" s="235">
        <v>24000</v>
      </c>
      <c r="O61" s="158">
        <v>15000</v>
      </c>
      <c r="Q61" s="236"/>
    </row>
    <row r="62" spans="1:21" ht="12.75" customHeight="1">
      <c r="A62" s="22" t="s">
        <v>6</v>
      </c>
      <c r="B62" s="22" t="s">
        <v>11</v>
      </c>
      <c r="C62" s="52">
        <v>5000</v>
      </c>
      <c r="D62" s="52">
        <v>472</v>
      </c>
      <c r="E62" s="52">
        <v>1012</v>
      </c>
      <c r="F62" s="52">
        <v>5000</v>
      </c>
      <c r="G62" s="52"/>
      <c r="H62" s="52"/>
      <c r="I62" s="52"/>
      <c r="J62" s="52">
        <v>1126.71</v>
      </c>
      <c r="K62" s="52">
        <v>1020</v>
      </c>
      <c r="L62" s="52">
        <v>5000</v>
      </c>
      <c r="M62" s="52">
        <v>1560</v>
      </c>
      <c r="N62" s="52">
        <v>5000</v>
      </c>
      <c r="O62" s="158">
        <v>5150</v>
      </c>
      <c r="Q62" s="22"/>
    </row>
    <row r="63" spans="1:21" ht="2.1" customHeight="1">
      <c r="A63"/>
      <c r="B63"/>
      <c r="C63" s="100"/>
      <c r="D63" s="100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158"/>
    </row>
    <row r="64" spans="1:21" ht="15.95" customHeight="1">
      <c r="A64"/>
      <c r="B64" t="s">
        <v>95</v>
      </c>
      <c r="C64" s="87">
        <f>SUM(C34:C62)</f>
        <v>293805</v>
      </c>
      <c r="D64" s="87">
        <f>SUM(D34:D62)</f>
        <v>186757</v>
      </c>
      <c r="E64" s="87">
        <f>SUM(E34:E62)</f>
        <v>334484</v>
      </c>
      <c r="F64" s="87">
        <f>SUM(F34:F62)</f>
        <v>275730</v>
      </c>
      <c r="G64" s="87"/>
      <c r="H64" s="87"/>
      <c r="I64" s="87"/>
      <c r="J64" s="87">
        <v>524.99</v>
      </c>
      <c r="K64" s="87">
        <f>SUM(K34:K62)</f>
        <v>214271</v>
      </c>
      <c r="L64" s="87">
        <f>SUM(L34:L63)</f>
        <v>283380</v>
      </c>
      <c r="M64" s="87">
        <f>SUM(M34:M63)</f>
        <v>116766</v>
      </c>
      <c r="N64" s="87">
        <f>SUM(N34:N63)</f>
        <v>283980</v>
      </c>
      <c r="O64" s="247">
        <f>SUM(O34:O63)</f>
        <v>309284</v>
      </c>
    </row>
    <row r="65" spans="1:18" ht="15.95" customHeight="1">
      <c r="A65"/>
      <c r="B65"/>
      <c r="C65" s="88"/>
      <c r="D65" s="88"/>
      <c r="E65" s="88"/>
      <c r="F65" s="88"/>
      <c r="G65" s="88"/>
      <c r="H65" s="88"/>
      <c r="I65" s="88"/>
      <c r="J65" s="88">
        <v>97.55</v>
      </c>
      <c r="K65" s="88"/>
      <c r="L65" s="88"/>
      <c r="M65" s="88"/>
      <c r="N65" s="88"/>
      <c r="O65" s="161"/>
    </row>
    <row r="66" spans="1:18" ht="12.75" customHeight="1">
      <c r="A66"/>
      <c r="B66" s="5" t="s">
        <v>305</v>
      </c>
      <c r="C66" s="101"/>
      <c r="D66" s="101"/>
      <c r="E66" s="52"/>
      <c r="F66" s="52"/>
      <c r="G66" s="52"/>
      <c r="H66" s="52"/>
      <c r="I66" s="52"/>
      <c r="J66" s="52">
        <v>-179.82</v>
      </c>
      <c r="K66" s="52"/>
      <c r="L66" s="52"/>
      <c r="M66" s="52"/>
      <c r="N66" s="52"/>
      <c r="O66" s="158"/>
    </row>
    <row r="67" spans="1:18" ht="0.95" customHeight="1">
      <c r="A67"/>
      <c r="B67"/>
      <c r="C67" s="101"/>
      <c r="D67" s="10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158"/>
    </row>
    <row r="68" spans="1:18" s="91" customFormat="1" ht="12.75" customHeight="1">
      <c r="A68" s="234" t="s">
        <v>210</v>
      </c>
      <c r="B68" s="234" t="s">
        <v>416</v>
      </c>
      <c r="C68" s="254">
        <v>1000</v>
      </c>
      <c r="D68" s="254">
        <v>188</v>
      </c>
      <c r="E68" s="254">
        <v>0</v>
      </c>
      <c r="F68" s="254">
        <v>32000</v>
      </c>
      <c r="G68" s="254"/>
      <c r="H68" s="254"/>
      <c r="I68" s="254"/>
      <c r="J68" s="254">
        <v>7252.75</v>
      </c>
      <c r="K68" s="84">
        <v>32313</v>
      </c>
      <c r="L68" s="254">
        <v>16500</v>
      </c>
      <c r="M68" s="254">
        <v>615</v>
      </c>
      <c r="N68" s="254">
        <v>16500</v>
      </c>
      <c r="O68" s="143">
        <v>0</v>
      </c>
      <c r="Q68" s="236"/>
    </row>
    <row r="69" spans="1:18" ht="12.75" customHeight="1">
      <c r="A69" t="s">
        <v>211</v>
      </c>
      <c r="B69" t="s">
        <v>212</v>
      </c>
      <c r="C69" s="52">
        <v>20000</v>
      </c>
      <c r="D69" s="52">
        <v>10228</v>
      </c>
      <c r="E69" s="52">
        <v>13586</v>
      </c>
      <c r="F69" s="52">
        <v>20000</v>
      </c>
      <c r="G69" s="52"/>
      <c r="H69" s="52"/>
      <c r="I69" s="52"/>
      <c r="J69" s="52">
        <v>329.98</v>
      </c>
      <c r="K69" s="52">
        <v>16500</v>
      </c>
      <c r="L69" s="52">
        <v>20000</v>
      </c>
      <c r="M69" s="52">
        <v>1936</v>
      </c>
      <c r="N69" s="52">
        <v>20000</v>
      </c>
      <c r="O69" s="158">
        <v>50000</v>
      </c>
    </row>
    <row r="70" spans="1:18" ht="12.75" customHeight="1">
      <c r="A70" t="s">
        <v>213</v>
      </c>
      <c r="B70" t="s">
        <v>57</v>
      </c>
      <c r="C70" s="52">
        <v>15000</v>
      </c>
      <c r="D70" s="52">
        <v>2202</v>
      </c>
      <c r="E70" s="52">
        <v>6147</v>
      </c>
      <c r="F70" s="52">
        <v>15000</v>
      </c>
      <c r="G70" s="52"/>
      <c r="H70" s="52"/>
      <c r="I70" s="52"/>
      <c r="J70" s="52">
        <v>263.3</v>
      </c>
      <c r="K70" s="52">
        <v>11048</v>
      </c>
      <c r="L70" s="52">
        <v>35000</v>
      </c>
      <c r="M70" s="52">
        <v>1504</v>
      </c>
      <c r="N70" s="52">
        <v>35000</v>
      </c>
      <c r="O70" s="158">
        <v>36050</v>
      </c>
    </row>
    <row r="71" spans="1:18" ht="12.75" customHeight="1">
      <c r="A71" t="s">
        <v>214</v>
      </c>
      <c r="B71" t="s">
        <v>41</v>
      </c>
      <c r="C71" s="52">
        <v>20000</v>
      </c>
      <c r="D71" s="52">
        <v>10464</v>
      </c>
      <c r="E71" s="52">
        <v>28919</v>
      </c>
      <c r="F71" s="52">
        <v>20000</v>
      </c>
      <c r="G71" s="52"/>
      <c r="H71" s="52"/>
      <c r="I71" s="52"/>
      <c r="J71" s="52">
        <v>4475.45</v>
      </c>
      <c r="K71" s="52">
        <v>2345</v>
      </c>
      <c r="L71" s="52">
        <v>20000</v>
      </c>
      <c r="M71" s="52">
        <v>1186</v>
      </c>
      <c r="N71" s="52">
        <v>20000</v>
      </c>
      <c r="O71" s="158">
        <v>20600</v>
      </c>
    </row>
    <row r="72" spans="1:18" ht="12.75" customHeight="1">
      <c r="A72" s="22" t="s">
        <v>23</v>
      </c>
      <c r="B72" s="22" t="s">
        <v>38</v>
      </c>
      <c r="C72" s="52">
        <v>5500</v>
      </c>
      <c r="D72" s="52">
        <v>120</v>
      </c>
      <c r="E72" s="52">
        <v>206</v>
      </c>
      <c r="F72" s="52">
        <v>25000</v>
      </c>
      <c r="G72" s="52"/>
      <c r="H72" s="52"/>
      <c r="I72" s="52"/>
      <c r="J72" s="52">
        <v>295.64999999999998</v>
      </c>
      <c r="K72" s="52">
        <f>5617+923</f>
        <v>6540</v>
      </c>
      <c r="L72" s="52">
        <v>15000</v>
      </c>
      <c r="M72" s="52">
        <v>195</v>
      </c>
      <c r="N72" s="52">
        <v>15000</v>
      </c>
      <c r="O72" s="158">
        <v>15450</v>
      </c>
    </row>
    <row r="73" spans="1:18" ht="12.75" customHeight="1">
      <c r="A73" t="s">
        <v>272</v>
      </c>
      <c r="B73" t="s">
        <v>273</v>
      </c>
      <c r="C73" s="52">
        <v>15000</v>
      </c>
      <c r="D73" s="52">
        <v>2407</v>
      </c>
      <c r="E73" s="52">
        <v>15014</v>
      </c>
      <c r="F73" s="52">
        <v>16000</v>
      </c>
      <c r="G73" s="52"/>
      <c r="H73" s="52"/>
      <c r="I73" s="52"/>
      <c r="J73" s="52">
        <v>560</v>
      </c>
      <c r="K73" s="52">
        <v>1220</v>
      </c>
      <c r="L73" s="52">
        <v>16000</v>
      </c>
      <c r="M73" s="52">
        <v>491</v>
      </c>
      <c r="N73" s="52">
        <v>16000</v>
      </c>
      <c r="O73" s="158">
        <v>16480</v>
      </c>
    </row>
    <row r="74" spans="1:18" ht="12.75" customHeight="1">
      <c r="A74" t="s">
        <v>274</v>
      </c>
      <c r="B74" t="s">
        <v>275</v>
      </c>
      <c r="C74" s="52">
        <v>30000</v>
      </c>
      <c r="D74" s="52">
        <v>32613</v>
      </c>
      <c r="E74" s="52">
        <v>43627</v>
      </c>
      <c r="F74" s="52">
        <v>30000</v>
      </c>
      <c r="G74" s="52"/>
      <c r="H74" s="52">
        <f>354.32+179.82</f>
        <v>534.14</v>
      </c>
      <c r="I74" s="52"/>
      <c r="J74" s="52">
        <v>111.67</v>
      </c>
      <c r="K74" s="52">
        <v>21781</v>
      </c>
      <c r="L74" s="52">
        <v>30000</v>
      </c>
      <c r="M74" s="52">
        <v>11184</v>
      </c>
      <c r="N74" s="52">
        <v>30000</v>
      </c>
      <c r="O74" s="158">
        <v>30900</v>
      </c>
      <c r="P74" s="3">
        <f>26153+4214+34815+4031</f>
        <v>69213</v>
      </c>
    </row>
    <row r="75" spans="1:18" ht="12.75" customHeight="1">
      <c r="A75" s="22" t="s">
        <v>276</v>
      </c>
      <c r="B75" t="s">
        <v>39</v>
      </c>
      <c r="C75" s="52">
        <v>50000</v>
      </c>
      <c r="D75" s="52">
        <v>15798</v>
      </c>
      <c r="E75" s="52">
        <v>43043</v>
      </c>
      <c r="F75" s="52">
        <v>25000</v>
      </c>
      <c r="G75" s="52"/>
      <c r="H75" s="52"/>
      <c r="I75" s="52"/>
      <c r="J75" s="52"/>
      <c r="K75" s="52">
        <v>1551</v>
      </c>
      <c r="L75" s="52">
        <v>25000</v>
      </c>
      <c r="M75" s="52">
        <v>8131</v>
      </c>
      <c r="N75" s="52">
        <v>25000</v>
      </c>
      <c r="O75" s="158">
        <v>25750</v>
      </c>
    </row>
    <row r="76" spans="1:18" ht="12.75" customHeight="1">
      <c r="A76" t="s">
        <v>277</v>
      </c>
      <c r="B76" s="22" t="s">
        <v>447</v>
      </c>
      <c r="C76" s="52">
        <v>3000</v>
      </c>
      <c r="D76" s="52">
        <v>2481</v>
      </c>
      <c r="E76" s="52">
        <v>3613</v>
      </c>
      <c r="F76" s="52">
        <v>5000</v>
      </c>
      <c r="G76" s="52"/>
      <c r="H76" s="52"/>
      <c r="I76" s="52"/>
      <c r="J76" s="52">
        <v>2022</v>
      </c>
      <c r="K76" s="52">
        <f>1865+525</f>
        <v>2390</v>
      </c>
      <c r="L76" s="52">
        <v>3000</v>
      </c>
      <c r="M76" s="52">
        <v>678</v>
      </c>
      <c r="N76" s="52">
        <v>3000</v>
      </c>
      <c r="O76" s="158">
        <v>10000</v>
      </c>
      <c r="P76" s="3">
        <f>69217-68733-3</f>
        <v>481</v>
      </c>
    </row>
    <row r="77" spans="1:18" ht="12.75" customHeight="1">
      <c r="A77"/>
      <c r="B77" t="s">
        <v>431</v>
      </c>
      <c r="C77" s="52"/>
      <c r="D77" s="52"/>
      <c r="E77" s="52"/>
      <c r="F77" s="52"/>
      <c r="G77" s="52"/>
      <c r="H77" s="52"/>
      <c r="I77" s="52"/>
      <c r="J77" s="52"/>
      <c r="K77" s="52"/>
      <c r="L77" s="52">
        <v>0</v>
      </c>
      <c r="M77" s="52">
        <v>240</v>
      </c>
      <c r="N77" s="52">
        <v>0</v>
      </c>
      <c r="O77" s="158"/>
      <c r="Q77" s="236"/>
      <c r="R77" s="231"/>
    </row>
    <row r="78" spans="1:18" ht="12.75" customHeight="1">
      <c r="A78" t="s">
        <v>138</v>
      </c>
      <c r="B78" t="s">
        <v>348</v>
      </c>
      <c r="C78" s="52">
        <v>20000</v>
      </c>
      <c r="D78" s="52">
        <v>4143</v>
      </c>
      <c r="E78" s="52">
        <v>47666</v>
      </c>
      <c r="F78" s="52">
        <v>20000</v>
      </c>
      <c r="G78" s="52"/>
      <c r="H78" s="52"/>
      <c r="I78" s="52"/>
      <c r="J78" s="52">
        <v>272</v>
      </c>
      <c r="K78" s="52">
        <v>9080</v>
      </c>
      <c r="L78" s="52">
        <v>20000</v>
      </c>
      <c r="M78" s="52">
        <v>9834</v>
      </c>
      <c r="N78" s="52">
        <v>20000</v>
      </c>
      <c r="O78" s="158">
        <v>20600</v>
      </c>
    </row>
    <row r="79" spans="1:18" ht="12.75" customHeight="1">
      <c r="A79" t="s">
        <v>139</v>
      </c>
      <c r="B79" s="22" t="s">
        <v>2</v>
      </c>
      <c r="C79" s="52">
        <v>3000</v>
      </c>
      <c r="D79" s="52">
        <v>0</v>
      </c>
      <c r="E79" s="52">
        <v>0</v>
      </c>
      <c r="F79" s="52">
        <v>3000</v>
      </c>
      <c r="G79" s="52"/>
      <c r="H79" s="52"/>
      <c r="I79" s="52"/>
      <c r="J79" s="52">
        <v>2241</v>
      </c>
      <c r="K79" s="52">
        <v>0</v>
      </c>
      <c r="L79" s="52">
        <v>3000</v>
      </c>
      <c r="M79" s="52">
        <v>0</v>
      </c>
      <c r="N79" s="52">
        <v>3000</v>
      </c>
      <c r="O79" s="158">
        <v>3090</v>
      </c>
    </row>
    <row r="80" spans="1:18" ht="12.75" customHeight="1">
      <c r="A80"/>
      <c r="B80" s="22" t="s">
        <v>285</v>
      </c>
      <c r="C80" s="52">
        <v>28000</v>
      </c>
      <c r="D80" s="52">
        <v>0</v>
      </c>
      <c r="E80" s="52">
        <v>0</v>
      </c>
      <c r="F80" s="52">
        <v>15000</v>
      </c>
      <c r="G80" s="52"/>
      <c r="H80" s="52">
        <f>5185+654-373-411-36+480</f>
        <v>5499</v>
      </c>
      <c r="I80" s="52"/>
      <c r="J80" s="52">
        <v>407</v>
      </c>
      <c r="K80" s="52">
        <v>0</v>
      </c>
      <c r="L80" s="52">
        <v>50000</v>
      </c>
      <c r="M80" s="52">
        <v>0</v>
      </c>
      <c r="N80" s="52">
        <v>50000</v>
      </c>
      <c r="O80" s="158">
        <v>51500</v>
      </c>
      <c r="Q80" s="22"/>
    </row>
    <row r="81" spans="1:17" ht="12.75" customHeight="1">
      <c r="A81" t="s">
        <v>140</v>
      </c>
      <c r="B81" t="s">
        <v>363</v>
      </c>
      <c r="C81" s="52">
        <v>3000</v>
      </c>
      <c r="D81" s="52">
        <v>1167</v>
      </c>
      <c r="E81" s="52">
        <v>4962</v>
      </c>
      <c r="F81" s="52">
        <v>3000</v>
      </c>
      <c r="G81" s="52"/>
      <c r="H81" s="52"/>
      <c r="I81" s="52"/>
      <c r="J81" s="52">
        <v>160</v>
      </c>
      <c r="K81" s="52">
        <v>188</v>
      </c>
      <c r="L81" s="52">
        <v>5000</v>
      </c>
      <c r="M81" s="52">
        <v>0</v>
      </c>
      <c r="N81" s="52">
        <v>5000</v>
      </c>
      <c r="O81" s="158">
        <v>5150</v>
      </c>
    </row>
    <row r="82" spans="1:17" ht="12.75" customHeight="1">
      <c r="A82" t="s">
        <v>45</v>
      </c>
      <c r="B82" t="s">
        <v>47</v>
      </c>
      <c r="C82" s="52">
        <v>6000</v>
      </c>
      <c r="D82" s="52">
        <v>3887</v>
      </c>
      <c r="E82" s="52">
        <v>3887</v>
      </c>
      <c r="F82" s="52">
        <v>7000</v>
      </c>
      <c r="G82" s="52"/>
      <c r="H82" s="52"/>
      <c r="I82" s="52"/>
      <c r="J82" s="52">
        <v>180</v>
      </c>
      <c r="K82" s="52">
        <v>11018</v>
      </c>
      <c r="L82" s="52">
        <v>14000</v>
      </c>
      <c r="M82" s="52">
        <v>5070</v>
      </c>
      <c r="N82" s="52">
        <v>14000</v>
      </c>
      <c r="O82" s="158">
        <v>14420</v>
      </c>
    </row>
    <row r="83" spans="1:17" ht="12.75" customHeight="1">
      <c r="A83" t="s">
        <v>19</v>
      </c>
      <c r="B83" t="s">
        <v>48</v>
      </c>
      <c r="C83" s="52">
        <v>25000</v>
      </c>
      <c r="D83" s="52">
        <v>7120</v>
      </c>
      <c r="E83" s="52">
        <v>14240</v>
      </c>
      <c r="F83" s="52">
        <v>25000</v>
      </c>
      <c r="G83" s="52"/>
      <c r="H83" s="52"/>
      <c r="I83" s="52"/>
      <c r="J83" s="52">
        <v>354</v>
      </c>
      <c r="K83" s="52">
        <v>15502</v>
      </c>
      <c r="L83" s="52">
        <v>25000</v>
      </c>
      <c r="M83" s="52">
        <v>16969</v>
      </c>
      <c r="N83" s="52">
        <v>25000</v>
      </c>
      <c r="O83" s="158">
        <v>25750</v>
      </c>
    </row>
    <row r="84" spans="1:17" ht="12.75" customHeight="1">
      <c r="A84" t="s">
        <v>24</v>
      </c>
      <c r="B84" s="22" t="s">
        <v>25</v>
      </c>
      <c r="C84" s="52">
        <v>20000</v>
      </c>
      <c r="D84" s="52">
        <v>15268</v>
      </c>
      <c r="E84" s="52">
        <v>22705</v>
      </c>
      <c r="F84" s="52">
        <v>20000</v>
      </c>
      <c r="G84" s="52"/>
      <c r="H84" s="52"/>
      <c r="I84" s="52"/>
      <c r="J84" s="52">
        <v>120</v>
      </c>
      <c r="K84" s="52">
        <v>53136</v>
      </c>
      <c r="L84" s="52">
        <v>20000</v>
      </c>
      <c r="M84" s="235">
        <v>56493</v>
      </c>
      <c r="N84" s="235">
        <v>55493</v>
      </c>
      <c r="O84" s="158">
        <v>40000</v>
      </c>
      <c r="P84" s="3">
        <f>3734+480</f>
        <v>4214</v>
      </c>
      <c r="Q84" s="236"/>
    </row>
    <row r="85" spans="1:17" ht="2.1" customHeight="1">
      <c r="A85" s="22"/>
      <c r="B85" s="22"/>
      <c r="C85" s="84"/>
      <c r="D85" s="84"/>
      <c r="E85" s="52"/>
      <c r="F85" s="52"/>
      <c r="G85" s="52"/>
      <c r="H85" s="52"/>
      <c r="I85" s="52"/>
      <c r="J85" s="52">
        <v>480</v>
      </c>
      <c r="K85" s="52"/>
      <c r="L85" s="52"/>
      <c r="M85" s="52"/>
      <c r="N85" s="52"/>
      <c r="O85" s="158"/>
    </row>
    <row r="86" spans="1:17" ht="15.95" customHeight="1">
      <c r="A86"/>
      <c r="B86" t="s">
        <v>96</v>
      </c>
      <c r="C86" s="87">
        <f>SUM(C68:C84)</f>
        <v>264500</v>
      </c>
      <c r="D86" s="87">
        <f>SUM(D68:D84)</f>
        <v>108086</v>
      </c>
      <c r="E86" s="87">
        <f>SUM(E68:E84)</f>
        <v>247615</v>
      </c>
      <c r="F86" s="87">
        <f>SUM(F68:F84)</f>
        <v>281000</v>
      </c>
      <c r="G86" s="87"/>
      <c r="H86" s="87"/>
      <c r="I86" s="87"/>
      <c r="J86" s="87">
        <v>480</v>
      </c>
      <c r="K86" s="87">
        <f>SUM(K68:K84)</f>
        <v>184612</v>
      </c>
      <c r="L86" s="87">
        <f>SUM(L68:L85)</f>
        <v>317500</v>
      </c>
      <c r="M86" s="87">
        <f>SUM(M68:M85)</f>
        <v>114526</v>
      </c>
      <c r="N86" s="87">
        <f>SUM(N68:N85)</f>
        <v>352993</v>
      </c>
      <c r="O86" s="247">
        <f>SUM(O68:O85)</f>
        <v>365740</v>
      </c>
    </row>
    <row r="87" spans="1:17" ht="5.0999999999999996" customHeight="1">
      <c r="A87"/>
      <c r="B87"/>
      <c r="C87" s="101"/>
      <c r="D87" s="10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58"/>
    </row>
    <row r="88" spans="1:17" ht="21.95" customHeight="1">
      <c r="A88"/>
      <c r="B88" s="5" t="s">
        <v>291</v>
      </c>
      <c r="C88" s="104"/>
      <c r="D88" s="104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58"/>
    </row>
    <row r="89" spans="1:17" ht="12.75" customHeight="1">
      <c r="A89" t="s">
        <v>141</v>
      </c>
      <c r="B89" t="s">
        <v>142</v>
      </c>
      <c r="C89" s="84">
        <v>1000</v>
      </c>
      <c r="D89" s="84">
        <v>565</v>
      </c>
      <c r="E89" s="84">
        <v>730</v>
      </c>
      <c r="F89" s="84">
        <v>1000</v>
      </c>
      <c r="G89" s="84"/>
      <c r="H89" s="84"/>
      <c r="I89" s="84"/>
      <c r="J89" s="84"/>
      <c r="K89" s="84">
        <v>777</v>
      </c>
      <c r="L89" s="84">
        <v>1000</v>
      </c>
      <c r="M89" s="84">
        <v>582</v>
      </c>
      <c r="N89" s="84">
        <v>1000</v>
      </c>
      <c r="O89" s="143">
        <v>1030</v>
      </c>
    </row>
    <row r="90" spans="1:17" ht="12.75" customHeight="1">
      <c r="A90" t="s">
        <v>143</v>
      </c>
      <c r="B90" s="22" t="s">
        <v>42</v>
      </c>
      <c r="C90" s="52">
        <v>4500</v>
      </c>
      <c r="D90" s="52">
        <v>3430</v>
      </c>
      <c r="E90" s="52">
        <v>4477</v>
      </c>
      <c r="F90" s="52">
        <v>4500</v>
      </c>
      <c r="G90" s="52"/>
      <c r="H90" s="52"/>
      <c r="I90" s="52"/>
      <c r="J90" s="52"/>
      <c r="K90" s="52">
        <v>4402</v>
      </c>
      <c r="L90" s="52">
        <v>4500</v>
      </c>
      <c r="M90" s="52">
        <v>2439</v>
      </c>
      <c r="N90" s="52">
        <v>4500</v>
      </c>
      <c r="O90" s="158">
        <v>4635</v>
      </c>
    </row>
    <row r="91" spans="1:17" ht="12.75" customHeight="1">
      <c r="A91" t="s">
        <v>144</v>
      </c>
      <c r="B91" s="95" t="s">
        <v>353</v>
      </c>
      <c r="C91" s="52">
        <v>1200</v>
      </c>
      <c r="D91" s="52">
        <v>854</v>
      </c>
      <c r="E91" s="52">
        <v>1137</v>
      </c>
      <c r="F91" s="52">
        <v>1200</v>
      </c>
      <c r="G91" s="52"/>
      <c r="H91" s="52"/>
      <c r="I91" s="52"/>
      <c r="J91" s="52"/>
      <c r="K91" s="52">
        <v>1383</v>
      </c>
      <c r="L91" s="52">
        <v>6000</v>
      </c>
      <c r="M91" s="52">
        <v>956</v>
      </c>
      <c r="N91" s="52">
        <v>6000</v>
      </c>
      <c r="O91" s="158">
        <v>6180</v>
      </c>
      <c r="Q91" s="22"/>
    </row>
    <row r="92" spans="1:17" ht="12.75" customHeight="1">
      <c r="A92" t="s">
        <v>145</v>
      </c>
      <c r="B92" t="s">
        <v>146</v>
      </c>
      <c r="C92" s="52">
        <v>35000</v>
      </c>
      <c r="D92" s="52">
        <v>20942</v>
      </c>
      <c r="E92" s="52">
        <v>27500</v>
      </c>
      <c r="F92" s="52">
        <v>35000</v>
      </c>
      <c r="G92" s="52"/>
      <c r="H92" s="52"/>
      <c r="I92" s="52"/>
      <c r="J92" s="52"/>
      <c r="K92" s="52">
        <v>27380</v>
      </c>
      <c r="L92" s="52">
        <v>35000</v>
      </c>
      <c r="M92" s="52">
        <v>16635</v>
      </c>
      <c r="N92" s="52">
        <v>35000</v>
      </c>
      <c r="O92" s="158">
        <v>36050</v>
      </c>
    </row>
    <row r="93" spans="1:17" ht="12.75" customHeight="1">
      <c r="A93" t="s">
        <v>147</v>
      </c>
      <c r="B93" t="s">
        <v>368</v>
      </c>
      <c r="C93" s="52">
        <v>1000</v>
      </c>
      <c r="D93" s="52">
        <v>870</v>
      </c>
      <c r="E93" s="52">
        <v>1136</v>
      </c>
      <c r="F93" s="52">
        <v>1000</v>
      </c>
      <c r="G93" s="52"/>
      <c r="H93" s="52"/>
      <c r="I93" s="52"/>
      <c r="J93" s="52"/>
      <c r="K93" s="52">
        <v>1046</v>
      </c>
      <c r="L93" s="52">
        <v>1000</v>
      </c>
      <c r="M93" s="52">
        <v>700</v>
      </c>
      <c r="N93" s="52">
        <v>1000</v>
      </c>
      <c r="O93" s="158">
        <v>1030</v>
      </c>
    </row>
    <row r="94" spans="1:17" ht="12.75" customHeight="1">
      <c r="A94" t="s">
        <v>367</v>
      </c>
      <c r="B94" t="s">
        <v>362</v>
      </c>
      <c r="C94" s="52">
        <v>2000</v>
      </c>
      <c r="D94" s="52">
        <v>1417</v>
      </c>
      <c r="E94" s="52">
        <v>1705</v>
      </c>
      <c r="F94" s="52">
        <v>2000</v>
      </c>
      <c r="G94" s="52"/>
      <c r="H94" s="52"/>
      <c r="I94" s="52"/>
      <c r="J94" s="52"/>
      <c r="K94" s="52">
        <v>2092</v>
      </c>
      <c r="L94" s="52">
        <v>2000</v>
      </c>
      <c r="M94" s="52">
        <v>1183</v>
      </c>
      <c r="N94" s="52">
        <v>2000</v>
      </c>
      <c r="O94" s="158">
        <v>2060</v>
      </c>
    </row>
    <row r="95" spans="1:17" ht="12.75" customHeight="1">
      <c r="A95" t="s">
        <v>148</v>
      </c>
      <c r="B95" t="s">
        <v>149</v>
      </c>
      <c r="C95" s="52">
        <v>3700</v>
      </c>
      <c r="D95" s="52">
        <v>3230</v>
      </c>
      <c r="E95" s="52">
        <v>4275</v>
      </c>
      <c r="F95" s="52">
        <v>3700</v>
      </c>
      <c r="G95" s="52"/>
      <c r="H95" s="52"/>
      <c r="I95" s="52"/>
      <c r="J95" s="52"/>
      <c r="K95" s="52">
        <v>3845</v>
      </c>
      <c r="L95" s="52">
        <v>3700</v>
      </c>
      <c r="M95" s="52">
        <v>2542</v>
      </c>
      <c r="N95" s="52">
        <v>3700</v>
      </c>
      <c r="O95" s="158">
        <v>3811</v>
      </c>
    </row>
    <row r="96" spans="1:17" ht="12.75" customHeight="1">
      <c r="A96" t="s">
        <v>150</v>
      </c>
      <c r="B96" t="s">
        <v>151</v>
      </c>
      <c r="C96" s="52">
        <v>3700</v>
      </c>
      <c r="D96" s="52">
        <v>2362</v>
      </c>
      <c r="E96" s="52">
        <v>3095</v>
      </c>
      <c r="F96" s="52">
        <v>3700</v>
      </c>
      <c r="G96" s="52"/>
      <c r="H96" s="52"/>
      <c r="I96" s="52"/>
      <c r="J96" s="52"/>
      <c r="K96" s="52">
        <v>2998</v>
      </c>
      <c r="L96" s="52">
        <v>3700</v>
      </c>
      <c r="M96" s="52">
        <v>1742</v>
      </c>
      <c r="N96" s="52">
        <v>3700</v>
      </c>
      <c r="O96" s="158">
        <v>3811</v>
      </c>
    </row>
    <row r="97" spans="1:17" ht="12.75" customHeight="1">
      <c r="A97" t="s">
        <v>152</v>
      </c>
      <c r="B97" t="s">
        <v>153</v>
      </c>
      <c r="C97" s="52">
        <v>3100</v>
      </c>
      <c r="D97" s="52">
        <v>1891</v>
      </c>
      <c r="E97" s="52">
        <v>2497</v>
      </c>
      <c r="F97" s="52">
        <v>3000</v>
      </c>
      <c r="G97" s="52"/>
      <c r="H97" s="52"/>
      <c r="I97" s="52"/>
      <c r="J97" s="52"/>
      <c r="K97" s="52">
        <v>2542</v>
      </c>
      <c r="L97" s="52">
        <v>3000</v>
      </c>
      <c r="M97" s="52">
        <v>1581</v>
      </c>
      <c r="N97" s="52">
        <v>3000</v>
      </c>
      <c r="O97" s="158">
        <v>3090</v>
      </c>
    </row>
    <row r="98" spans="1:17" ht="12.75" customHeight="1">
      <c r="A98" t="s">
        <v>154</v>
      </c>
      <c r="B98" t="s">
        <v>155</v>
      </c>
      <c r="C98" s="52">
        <v>2200</v>
      </c>
      <c r="D98" s="52">
        <v>1450</v>
      </c>
      <c r="E98" s="52">
        <v>1878</v>
      </c>
      <c r="F98" s="52">
        <v>2200</v>
      </c>
      <c r="G98" s="52"/>
      <c r="H98" s="52"/>
      <c r="I98" s="52"/>
      <c r="J98" s="52"/>
      <c r="K98" s="52">
        <v>1596</v>
      </c>
      <c r="L98" s="52">
        <v>2200</v>
      </c>
      <c r="M98" s="52">
        <v>1040</v>
      </c>
      <c r="N98" s="52">
        <v>2200</v>
      </c>
      <c r="O98" s="158">
        <v>2266</v>
      </c>
    </row>
    <row r="99" spans="1:17" ht="12.75" customHeight="1">
      <c r="A99" t="s">
        <v>156</v>
      </c>
      <c r="B99" t="s">
        <v>157</v>
      </c>
      <c r="C99" s="52">
        <v>21000</v>
      </c>
      <c r="D99" s="52">
        <v>13745</v>
      </c>
      <c r="E99" s="52">
        <v>18363</v>
      </c>
      <c r="F99" s="52">
        <v>21000</v>
      </c>
      <c r="G99" s="52"/>
      <c r="H99" s="52"/>
      <c r="I99" s="52"/>
      <c r="J99" s="52"/>
      <c r="K99" s="52">
        <v>19058</v>
      </c>
      <c r="L99" s="52">
        <v>21000</v>
      </c>
      <c r="M99" s="52">
        <v>11245</v>
      </c>
      <c r="N99" s="52">
        <v>21000</v>
      </c>
      <c r="O99" s="158">
        <v>21630</v>
      </c>
    </row>
    <row r="100" spans="1:17" ht="12.75" customHeight="1">
      <c r="A100" t="s">
        <v>158</v>
      </c>
      <c r="B100" t="s">
        <v>159</v>
      </c>
      <c r="C100" s="52">
        <v>4500</v>
      </c>
      <c r="D100" s="52">
        <v>4865</v>
      </c>
      <c r="E100" s="52">
        <v>5573</v>
      </c>
      <c r="F100" s="52">
        <v>6000</v>
      </c>
      <c r="G100" s="52"/>
      <c r="H100" s="52"/>
      <c r="I100" s="52"/>
      <c r="J100" s="52"/>
      <c r="K100" s="52">
        <v>6968</v>
      </c>
      <c r="L100" s="52">
        <v>7500</v>
      </c>
      <c r="M100" s="52">
        <v>3066</v>
      </c>
      <c r="N100" s="52">
        <v>7500</v>
      </c>
      <c r="O100" s="158">
        <v>7725</v>
      </c>
    </row>
    <row r="101" spans="1:17" ht="12.75" customHeight="1">
      <c r="A101" t="s">
        <v>160</v>
      </c>
      <c r="B101" t="s">
        <v>161</v>
      </c>
      <c r="C101" s="52">
        <v>3000</v>
      </c>
      <c r="D101" s="52">
        <v>2581</v>
      </c>
      <c r="E101" s="52">
        <v>3339</v>
      </c>
      <c r="F101" s="52">
        <v>3000</v>
      </c>
      <c r="G101" s="52"/>
      <c r="H101" s="52"/>
      <c r="I101" s="52"/>
      <c r="J101" s="52"/>
      <c r="K101" s="52">
        <v>3126</v>
      </c>
      <c r="L101" s="52">
        <v>3000</v>
      </c>
      <c r="M101" s="52">
        <v>1897</v>
      </c>
      <c r="N101" s="52">
        <v>3000</v>
      </c>
      <c r="O101" s="158">
        <v>3090</v>
      </c>
    </row>
    <row r="102" spans="1:17" ht="12.75" customHeight="1">
      <c r="A102" t="s">
        <v>162</v>
      </c>
      <c r="B102" s="22" t="s">
        <v>43</v>
      </c>
      <c r="C102" s="52">
        <v>4000</v>
      </c>
      <c r="D102" s="52">
        <v>1672</v>
      </c>
      <c r="E102" s="52">
        <v>2285</v>
      </c>
      <c r="F102" s="52">
        <v>4000</v>
      </c>
      <c r="G102" s="52"/>
      <c r="H102" s="52"/>
      <c r="I102" s="52"/>
      <c r="J102" s="52"/>
      <c r="K102" s="52">
        <v>2484</v>
      </c>
      <c r="L102" s="52">
        <v>4000</v>
      </c>
      <c r="M102" s="52">
        <v>1889</v>
      </c>
      <c r="N102" s="52">
        <v>4000</v>
      </c>
      <c r="O102" s="158">
        <v>4120</v>
      </c>
    </row>
    <row r="103" spans="1:17" ht="12.75" customHeight="1">
      <c r="A103" t="s">
        <v>163</v>
      </c>
      <c r="B103" t="s">
        <v>164</v>
      </c>
      <c r="C103" s="52">
        <v>1800</v>
      </c>
      <c r="D103" s="52">
        <v>1226</v>
      </c>
      <c r="E103" s="52">
        <v>1681</v>
      </c>
      <c r="F103" s="52">
        <v>1800</v>
      </c>
      <c r="G103" s="52"/>
      <c r="H103" s="52"/>
      <c r="I103" s="52"/>
      <c r="J103" s="52"/>
      <c r="K103" s="52">
        <v>1840</v>
      </c>
      <c r="L103" s="52">
        <v>2200</v>
      </c>
      <c r="M103" s="52">
        <v>1396</v>
      </c>
      <c r="N103" s="52">
        <v>2200</v>
      </c>
      <c r="O103" s="158">
        <v>2266</v>
      </c>
    </row>
    <row r="104" spans="1:17" ht="12.75" customHeight="1">
      <c r="A104" t="s">
        <v>165</v>
      </c>
      <c r="B104" t="s">
        <v>166</v>
      </c>
      <c r="C104" s="52">
        <v>5000</v>
      </c>
      <c r="D104" s="52">
        <v>3106</v>
      </c>
      <c r="E104" s="52">
        <v>3790</v>
      </c>
      <c r="F104" s="52">
        <v>5000</v>
      </c>
      <c r="G104" s="52"/>
      <c r="H104" s="52"/>
      <c r="I104" s="52"/>
      <c r="J104" s="52"/>
      <c r="K104" s="52">
        <v>3942</v>
      </c>
      <c r="L104" s="52">
        <v>5000</v>
      </c>
      <c r="M104" s="52">
        <v>2469</v>
      </c>
      <c r="N104" s="52">
        <v>5000</v>
      </c>
      <c r="O104" s="158">
        <v>5150</v>
      </c>
    </row>
    <row r="105" spans="1:17" ht="12.75" customHeight="1">
      <c r="A105" t="s">
        <v>167</v>
      </c>
      <c r="B105" t="s">
        <v>168</v>
      </c>
      <c r="C105" s="52">
        <v>2700</v>
      </c>
      <c r="D105" s="52">
        <v>1422</v>
      </c>
      <c r="E105" s="52">
        <v>2326</v>
      </c>
      <c r="F105" s="52">
        <v>2700</v>
      </c>
      <c r="G105" s="52"/>
      <c r="H105" s="52"/>
      <c r="I105" s="52"/>
      <c r="J105" s="52"/>
      <c r="K105" s="52">
        <v>2295</v>
      </c>
      <c r="L105" s="52">
        <v>3500</v>
      </c>
      <c r="M105" s="52">
        <v>1017</v>
      </c>
      <c r="N105" s="52">
        <v>3500</v>
      </c>
      <c r="O105" s="158">
        <v>3605</v>
      </c>
    </row>
    <row r="106" spans="1:17" ht="12.75" customHeight="1">
      <c r="A106" t="s">
        <v>169</v>
      </c>
      <c r="B106" s="22" t="s">
        <v>44</v>
      </c>
      <c r="C106" s="52">
        <v>10000</v>
      </c>
      <c r="D106" s="52">
        <v>7056</v>
      </c>
      <c r="E106" s="52">
        <v>9893</v>
      </c>
      <c r="F106" s="52">
        <v>10000</v>
      </c>
      <c r="G106" s="52"/>
      <c r="H106" s="52"/>
      <c r="I106" s="52"/>
      <c r="J106" s="52"/>
      <c r="K106" s="52">
        <v>9019</v>
      </c>
      <c r="L106" s="52">
        <v>11000</v>
      </c>
      <c r="M106" s="52">
        <v>3627</v>
      </c>
      <c r="N106" s="52">
        <v>11000</v>
      </c>
      <c r="O106" s="158">
        <v>9000</v>
      </c>
      <c r="Q106" s="22"/>
    </row>
    <row r="107" spans="1:17" ht="12.75" customHeight="1">
      <c r="A107" t="s">
        <v>170</v>
      </c>
      <c r="B107" t="s">
        <v>171</v>
      </c>
      <c r="C107" s="52">
        <v>3500</v>
      </c>
      <c r="D107" s="52">
        <v>2155</v>
      </c>
      <c r="E107" s="52">
        <v>3684</v>
      </c>
      <c r="F107" s="52">
        <v>3500</v>
      </c>
      <c r="G107" s="52"/>
      <c r="H107" s="52"/>
      <c r="I107" s="52"/>
      <c r="J107" s="52"/>
      <c r="K107" s="52">
        <v>3275</v>
      </c>
      <c r="L107" s="52">
        <v>3500</v>
      </c>
      <c r="M107" s="52">
        <v>1277</v>
      </c>
      <c r="N107" s="52">
        <v>3500</v>
      </c>
      <c r="O107" s="158">
        <v>3605</v>
      </c>
    </row>
    <row r="108" spans="1:17" ht="15.95" customHeight="1">
      <c r="A108"/>
      <c r="B108" t="s">
        <v>97</v>
      </c>
      <c r="C108" s="87">
        <f>SUM(C89:C107)</f>
        <v>112900</v>
      </c>
      <c r="D108" s="87">
        <f>SUM(D89:D107)</f>
        <v>74839</v>
      </c>
      <c r="E108" s="87">
        <f>SUM(E89:E107)</f>
        <v>99364</v>
      </c>
      <c r="F108" s="87">
        <f>SUM(F89:F107)</f>
        <v>114300</v>
      </c>
      <c r="G108" s="87"/>
      <c r="H108" s="87"/>
      <c r="I108" s="87"/>
      <c r="J108" s="87"/>
      <c r="K108" s="87">
        <f>SUM(K89:K107)</f>
        <v>100068</v>
      </c>
      <c r="L108" s="87">
        <f>SUM(L89:L107)</f>
        <v>122800</v>
      </c>
      <c r="M108" s="87">
        <f>SUM(M89:M107)</f>
        <v>57283</v>
      </c>
      <c r="N108" s="87">
        <f>SUM(N89:N107)</f>
        <v>122800</v>
      </c>
      <c r="O108" s="247">
        <f>SUM(O89:O107)</f>
        <v>124154</v>
      </c>
    </row>
    <row r="109" spans="1:17" ht="8.1" customHeight="1">
      <c r="A109"/>
      <c r="B109"/>
      <c r="C109" s="88"/>
      <c r="D109" s="88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209"/>
    </row>
    <row r="110" spans="1:17" ht="20.100000000000001" customHeight="1">
      <c r="A110"/>
      <c r="B110" s="5" t="s">
        <v>99</v>
      </c>
      <c r="C110" s="101"/>
      <c r="D110" s="10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158"/>
    </row>
    <row r="111" spans="1:17" ht="2.1" customHeight="1">
      <c r="A111"/>
      <c r="B111"/>
      <c r="C111" s="100"/>
      <c r="D111" s="100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158"/>
    </row>
    <row r="112" spans="1:17" ht="12.75" customHeight="1">
      <c r="A112" t="s">
        <v>173</v>
      </c>
      <c r="B112" t="s">
        <v>174</v>
      </c>
      <c r="C112" s="84">
        <v>4000</v>
      </c>
      <c r="D112" s="84">
        <v>2840</v>
      </c>
      <c r="E112" s="84">
        <v>3571</v>
      </c>
      <c r="F112" s="84">
        <v>4000</v>
      </c>
      <c r="G112" s="84"/>
      <c r="H112" s="84"/>
      <c r="I112" s="84"/>
      <c r="J112" s="84"/>
      <c r="K112" s="84">
        <v>3473</v>
      </c>
      <c r="L112" s="84">
        <v>4000</v>
      </c>
      <c r="M112" s="84">
        <v>2059</v>
      </c>
      <c r="N112" s="84">
        <v>4000</v>
      </c>
      <c r="O112" s="143">
        <v>4120</v>
      </c>
    </row>
    <row r="113" spans="1:21" ht="12.75" customHeight="1">
      <c r="A113" t="s">
        <v>175</v>
      </c>
      <c r="B113" t="s">
        <v>176</v>
      </c>
      <c r="C113" s="52">
        <v>311071</v>
      </c>
      <c r="D113" s="52">
        <v>190444</v>
      </c>
      <c r="E113" s="52">
        <v>251584</v>
      </c>
      <c r="F113" s="52">
        <v>375000</v>
      </c>
      <c r="G113" s="52" t="s">
        <v>346</v>
      </c>
      <c r="H113" s="52"/>
      <c r="I113" s="52"/>
      <c r="J113" s="52"/>
      <c r="K113" s="52">
        <v>296336</v>
      </c>
      <c r="L113" s="52">
        <v>385000</v>
      </c>
      <c r="M113" s="52">
        <v>194745</v>
      </c>
      <c r="N113" s="52">
        <v>385000</v>
      </c>
      <c r="O113" s="158">
        <v>396550</v>
      </c>
      <c r="Q113" s="191"/>
      <c r="R113" s="4"/>
      <c r="S113" s="149"/>
      <c r="T113" s="16">
        <f>R113*S113</f>
        <v>0</v>
      </c>
      <c r="U113" s="16">
        <f>T113+R113</f>
        <v>0</v>
      </c>
    </row>
    <row r="114" spans="1:21" ht="12.75" hidden="1" customHeight="1">
      <c r="A114" s="22" t="s">
        <v>26</v>
      </c>
      <c r="B114" s="22" t="s">
        <v>40</v>
      </c>
      <c r="C114" s="52">
        <v>0</v>
      </c>
      <c r="D114" s="52">
        <v>0</v>
      </c>
      <c r="E114" s="52">
        <v>0</v>
      </c>
      <c r="F114" s="52">
        <v>0</v>
      </c>
      <c r="G114" s="52"/>
      <c r="H114" s="52"/>
      <c r="I114" s="52"/>
      <c r="J114" s="52"/>
      <c r="K114" s="52"/>
      <c r="L114" s="52"/>
      <c r="M114" s="52"/>
      <c r="N114" s="52"/>
      <c r="O114" s="158"/>
    </row>
    <row r="115" spans="1:21" ht="12.75" customHeight="1">
      <c r="A115" s="22"/>
      <c r="B115" s="22" t="s">
        <v>40</v>
      </c>
      <c r="C115" s="52"/>
      <c r="D115" s="52"/>
      <c r="E115" s="52">
        <v>0</v>
      </c>
      <c r="F115" s="52">
        <v>0</v>
      </c>
      <c r="G115" s="52"/>
      <c r="H115" s="52"/>
      <c r="I115" s="52"/>
      <c r="J115" s="52"/>
      <c r="K115" s="52">
        <v>8073</v>
      </c>
      <c r="L115" s="52">
        <v>10000</v>
      </c>
      <c r="M115" s="52">
        <v>9180</v>
      </c>
      <c r="N115" s="52">
        <v>10000</v>
      </c>
      <c r="O115" s="158">
        <v>18000</v>
      </c>
    </row>
    <row r="116" spans="1:21" ht="12.75" customHeight="1">
      <c r="A116" t="s">
        <v>177</v>
      </c>
      <c r="B116" t="s">
        <v>178</v>
      </c>
      <c r="C116" s="52">
        <v>4511</v>
      </c>
      <c r="D116" s="52">
        <v>3286</v>
      </c>
      <c r="E116" s="52">
        <v>4284</v>
      </c>
      <c r="F116" s="52">
        <v>5400</v>
      </c>
      <c r="G116" s="52"/>
      <c r="H116" s="52"/>
      <c r="I116" s="52"/>
      <c r="J116" s="52"/>
      <c r="K116" s="52">
        <v>4758</v>
      </c>
      <c r="L116" s="52">
        <v>5500</v>
      </c>
      <c r="M116" s="52">
        <v>3711</v>
      </c>
      <c r="N116" s="52">
        <v>5500</v>
      </c>
      <c r="O116" s="158">
        <v>5665</v>
      </c>
      <c r="Q116" s="16"/>
      <c r="S116" s="149"/>
    </row>
    <row r="117" spans="1:21" ht="12.75" customHeight="1">
      <c r="A117" t="s">
        <v>179</v>
      </c>
      <c r="B117" t="s">
        <v>180</v>
      </c>
      <c r="C117" s="52">
        <v>45825</v>
      </c>
      <c r="D117" s="52">
        <v>28055</v>
      </c>
      <c r="E117" s="52">
        <v>38250</v>
      </c>
      <c r="F117" s="52">
        <v>45800</v>
      </c>
      <c r="G117" s="52"/>
      <c r="H117" s="52"/>
      <c r="I117" s="52"/>
      <c r="J117" s="52"/>
      <c r="K117" s="52">
        <v>44342</v>
      </c>
      <c r="L117" s="52">
        <v>46000</v>
      </c>
      <c r="M117" s="52">
        <v>30239</v>
      </c>
      <c r="N117" s="52">
        <v>46000</v>
      </c>
      <c r="O117" s="158">
        <v>47380</v>
      </c>
    </row>
    <row r="118" spans="1:21" ht="12.75" customHeight="1">
      <c r="A118" t="s">
        <v>181</v>
      </c>
      <c r="B118" t="s">
        <v>182</v>
      </c>
      <c r="C118" s="52">
        <v>37206</v>
      </c>
      <c r="D118" s="52">
        <v>29115</v>
      </c>
      <c r="E118" s="52">
        <v>69519</v>
      </c>
      <c r="F118" s="52">
        <v>40000</v>
      </c>
      <c r="G118" s="52" t="s">
        <v>377</v>
      </c>
      <c r="H118" s="52"/>
      <c r="I118" s="52"/>
      <c r="J118" s="52"/>
      <c r="K118" s="52">
        <v>59606</v>
      </c>
      <c r="L118" s="52">
        <v>156000</v>
      </c>
      <c r="M118" s="52">
        <v>71389</v>
      </c>
      <c r="N118" s="52">
        <v>156000</v>
      </c>
      <c r="O118" s="158">
        <v>209889</v>
      </c>
      <c r="Q118" s="230"/>
      <c r="U118" s="16">
        <f>SUM(U113:U116)</f>
        <v>0</v>
      </c>
    </row>
    <row r="119" spans="1:21" ht="12.75" customHeight="1">
      <c r="A119" t="s">
        <v>183</v>
      </c>
      <c r="B119" t="s">
        <v>375</v>
      </c>
      <c r="C119" s="52">
        <v>20000</v>
      </c>
      <c r="D119" s="52">
        <v>12113</v>
      </c>
      <c r="E119" s="250">
        <v>16073</v>
      </c>
      <c r="F119" s="250">
        <v>20000</v>
      </c>
      <c r="G119" s="250"/>
      <c r="H119" s="250"/>
      <c r="I119" s="250"/>
      <c r="J119" s="250"/>
      <c r="K119" s="250">
        <v>13724</v>
      </c>
      <c r="L119" s="250">
        <v>20000</v>
      </c>
      <c r="M119" s="250">
        <v>11011</v>
      </c>
      <c r="N119" s="250">
        <v>20000</v>
      </c>
      <c r="O119" s="251">
        <v>20600</v>
      </c>
    </row>
    <row r="120" spans="1:21" ht="2.1" customHeight="1">
      <c r="A120"/>
      <c r="B120"/>
      <c r="C120" s="100"/>
      <c r="D120" s="100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158"/>
    </row>
    <row r="121" spans="1:21" ht="15.95" customHeight="1">
      <c r="A121"/>
      <c r="B121" t="s">
        <v>100</v>
      </c>
      <c r="C121" s="87">
        <f>SUM(C111:C120)</f>
        <v>422613</v>
      </c>
      <c r="D121" s="87">
        <f>SUM(D111:D120)</f>
        <v>265853</v>
      </c>
      <c r="E121" s="87">
        <f>SUM(E111:E120)</f>
        <v>383281</v>
      </c>
      <c r="F121" s="87">
        <f>SUM(F111:F120)</f>
        <v>490200</v>
      </c>
      <c r="G121" s="87"/>
      <c r="H121" s="87"/>
      <c r="I121" s="87"/>
      <c r="J121" s="87"/>
      <c r="K121" s="87">
        <f>SUM(K112:K119)</f>
        <v>430312</v>
      </c>
      <c r="L121" s="87">
        <f>SUM(L112:L120)</f>
        <v>626500</v>
      </c>
      <c r="M121" s="87">
        <f>SUM(M112:M120)</f>
        <v>322334</v>
      </c>
      <c r="N121" s="87">
        <f>SUM(N112:N120)</f>
        <v>626500</v>
      </c>
      <c r="O121" s="247">
        <f>SUM(O112:O120)</f>
        <v>702204</v>
      </c>
    </row>
    <row r="122" spans="1:21" ht="12.75" customHeight="1">
      <c r="A122"/>
      <c r="B122"/>
      <c r="C122" s="101"/>
      <c r="D122" s="101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158"/>
    </row>
    <row r="123" spans="1:21" ht="15" customHeight="1">
      <c r="A123"/>
      <c r="B123" s="19" t="s">
        <v>352</v>
      </c>
      <c r="C123" s="89">
        <f>C64+C86+C108+C121</f>
        <v>1093818</v>
      </c>
      <c r="D123" s="89">
        <f>D64+D86+D108+D121</f>
        <v>635535</v>
      </c>
      <c r="E123" s="89">
        <f>E64+E86+E108+E121</f>
        <v>1064744</v>
      </c>
      <c r="F123" s="89">
        <f>F64+F86+F108+F121</f>
        <v>1161230</v>
      </c>
      <c r="G123" s="89"/>
      <c r="H123" s="89"/>
      <c r="I123" s="89"/>
      <c r="J123" s="89"/>
      <c r="K123" s="89">
        <f>K64+K86+K108+K121</f>
        <v>929263</v>
      </c>
      <c r="L123" s="89">
        <f>SUM(L121,L108,L86,L64)</f>
        <v>1350180</v>
      </c>
      <c r="M123" s="89">
        <f>SUM(M121,M108,M86,M64)</f>
        <v>610909</v>
      </c>
      <c r="N123" s="89">
        <f>SUM(N121,N108,N86,N64)</f>
        <v>1386273</v>
      </c>
      <c r="O123" s="208">
        <f>SUM(O121,O108,O86,O64)</f>
        <v>1501382</v>
      </c>
      <c r="R123" s="4"/>
      <c r="S123" s="16"/>
      <c r="T123" s="16"/>
    </row>
    <row r="124" spans="1:21" ht="15" customHeight="1">
      <c r="A124"/>
      <c r="B124" s="19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161"/>
      <c r="R124" s="4"/>
      <c r="S124" s="16"/>
      <c r="T124" s="16"/>
    </row>
    <row r="125" spans="1:21" ht="15" customHeight="1">
      <c r="A125"/>
      <c r="B125" s="269" t="s">
        <v>134</v>
      </c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161"/>
      <c r="R125" s="4"/>
      <c r="S125" s="16"/>
      <c r="T125" s="16"/>
    </row>
    <row r="126" spans="1:21" ht="15" customHeight="1">
      <c r="A126"/>
      <c r="B126" s="270" t="s">
        <v>356</v>
      </c>
      <c r="C126" s="88"/>
      <c r="D126" s="88"/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271">
        <v>43569</v>
      </c>
      <c r="N126" s="271">
        <v>87573</v>
      </c>
      <c r="O126" s="272">
        <v>89333</v>
      </c>
      <c r="R126" s="4"/>
      <c r="S126" s="16"/>
      <c r="T126" s="16"/>
    </row>
    <row r="127" spans="1:21" ht="15" customHeight="1">
      <c r="A127"/>
      <c r="B127" s="270" t="s">
        <v>357</v>
      </c>
      <c r="C127" s="88"/>
      <c r="D127" s="88"/>
      <c r="E127" s="268">
        <v>0</v>
      </c>
      <c r="F127" s="268">
        <v>0</v>
      </c>
      <c r="G127" s="268">
        <v>0</v>
      </c>
      <c r="H127" s="268">
        <v>0</v>
      </c>
      <c r="I127" s="268">
        <v>0</v>
      </c>
      <c r="J127" s="268">
        <v>0</v>
      </c>
      <c r="K127" s="268">
        <v>0</v>
      </c>
      <c r="L127" s="268">
        <v>0</v>
      </c>
      <c r="M127" s="273">
        <v>4082</v>
      </c>
      <c r="N127" s="273">
        <v>7728</v>
      </c>
      <c r="O127" s="274">
        <v>5968</v>
      </c>
      <c r="R127" s="4"/>
      <c r="S127" s="16"/>
      <c r="T127" s="16"/>
    </row>
    <row r="128" spans="1:21" ht="12.75" customHeight="1"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158"/>
    </row>
    <row r="129" spans="1:15" ht="12.75" customHeight="1">
      <c r="B129" s="1" t="s">
        <v>332</v>
      </c>
      <c r="C129" s="52"/>
      <c r="D129" s="52"/>
      <c r="E129" s="118">
        <f>SUM(E123:E127)</f>
        <v>1064744</v>
      </c>
      <c r="F129" s="118">
        <f t="shared" ref="F129:O129" si="0">SUM(F123:F127)</f>
        <v>1161230</v>
      </c>
      <c r="G129" s="118">
        <f t="shared" si="0"/>
        <v>0</v>
      </c>
      <c r="H129" s="118">
        <f t="shared" si="0"/>
        <v>0</v>
      </c>
      <c r="I129" s="118">
        <f t="shared" si="0"/>
        <v>0</v>
      </c>
      <c r="J129" s="118">
        <f t="shared" si="0"/>
        <v>0</v>
      </c>
      <c r="K129" s="118">
        <f t="shared" si="0"/>
        <v>929263</v>
      </c>
      <c r="L129" s="118">
        <f t="shared" si="0"/>
        <v>1350180</v>
      </c>
      <c r="M129" s="275">
        <f t="shared" si="0"/>
        <v>658560</v>
      </c>
      <c r="N129" s="275">
        <f t="shared" si="0"/>
        <v>1481574</v>
      </c>
      <c r="O129" s="276">
        <f t="shared" si="0"/>
        <v>1596683</v>
      </c>
    </row>
    <row r="130" spans="1:15" ht="12.75" customHeight="1"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263"/>
      <c r="N130" s="263"/>
      <c r="O130" s="264"/>
    </row>
    <row r="131" spans="1:15" ht="12.75" customHeight="1">
      <c r="B131" s="1" t="s">
        <v>358</v>
      </c>
      <c r="C131" s="89">
        <f>C26-C123</f>
        <v>58532</v>
      </c>
      <c r="D131" s="89">
        <f>D26-D123</f>
        <v>489236</v>
      </c>
      <c r="E131" s="89">
        <f>E26-E129</f>
        <v>432346</v>
      </c>
      <c r="F131" s="89">
        <f t="shared" ref="F131:O131" si="1">F26-F129</f>
        <v>115070</v>
      </c>
      <c r="G131" s="89">
        <f t="shared" si="1"/>
        <v>0</v>
      </c>
      <c r="H131" s="89">
        <f t="shared" si="1"/>
        <v>0</v>
      </c>
      <c r="I131" s="89">
        <f t="shared" si="1"/>
        <v>0</v>
      </c>
      <c r="J131" s="89">
        <f t="shared" si="1"/>
        <v>0</v>
      </c>
      <c r="K131" s="89">
        <f t="shared" si="1"/>
        <v>544130</v>
      </c>
      <c r="L131" s="89">
        <f t="shared" si="1"/>
        <v>-11380</v>
      </c>
      <c r="M131" s="277">
        <f t="shared" si="1"/>
        <v>487893</v>
      </c>
      <c r="N131" s="277">
        <f t="shared" si="1"/>
        <v>181334</v>
      </c>
      <c r="O131" s="278">
        <f t="shared" si="1"/>
        <v>248467</v>
      </c>
    </row>
    <row r="132" spans="1:15" ht="12.75" customHeight="1"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158"/>
    </row>
    <row r="133" spans="1:15" ht="12.75" customHeight="1">
      <c r="A133"/>
      <c r="B133" s="5" t="s">
        <v>10</v>
      </c>
      <c r="C133" s="101"/>
      <c r="D133" s="101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158"/>
    </row>
    <row r="134" spans="1:15" ht="12" customHeight="1">
      <c r="A134" t="s">
        <v>188</v>
      </c>
      <c r="B134" t="s">
        <v>382</v>
      </c>
      <c r="C134" s="98">
        <v>-150000</v>
      </c>
      <c r="D134" s="118">
        <v>-11201</v>
      </c>
      <c r="E134" s="98">
        <v>-62953</v>
      </c>
      <c r="F134" s="98">
        <v>-335990</v>
      </c>
      <c r="G134" s="98"/>
      <c r="H134" s="98"/>
      <c r="I134" s="98"/>
      <c r="J134" s="98"/>
      <c r="K134" s="118">
        <v>-202803</v>
      </c>
      <c r="L134" s="98">
        <v>-245000</v>
      </c>
      <c r="M134" s="98">
        <v>-23852</v>
      </c>
      <c r="N134" s="98">
        <v>-245000</v>
      </c>
      <c r="O134" s="159">
        <v>-200000</v>
      </c>
    </row>
    <row r="135" spans="1:15" ht="2.1" customHeight="1">
      <c r="A135"/>
      <c r="B135"/>
      <c r="C135" s="84"/>
      <c r="D135" s="84"/>
      <c r="E135" s="84"/>
      <c r="F135" s="84"/>
      <c r="G135" s="84"/>
      <c r="H135" s="84"/>
      <c r="I135" s="84"/>
      <c r="J135" s="84"/>
      <c r="K135" s="84"/>
      <c r="L135" s="98">
        <v>-245000</v>
      </c>
      <c r="M135" s="98">
        <v>-23852</v>
      </c>
      <c r="N135" s="98">
        <v>-245000</v>
      </c>
      <c r="O135" s="143"/>
    </row>
    <row r="136" spans="1:15" ht="12" customHeight="1">
      <c r="A136"/>
      <c r="B136" s="69" t="s">
        <v>370</v>
      </c>
      <c r="C136" s="89">
        <f>SUM(C133:C135)</f>
        <v>-150000</v>
      </c>
      <c r="D136" s="89">
        <f>SUM(D133:D135)</f>
        <v>-11201</v>
      </c>
      <c r="E136" s="89">
        <f>SUM(E133:E135)</f>
        <v>-62953</v>
      </c>
      <c r="F136" s="89">
        <f>SUM(F133:F135)</f>
        <v>-335990</v>
      </c>
      <c r="G136" s="89"/>
      <c r="H136" s="89"/>
      <c r="I136" s="89"/>
      <c r="J136" s="89"/>
      <c r="K136" s="89">
        <f>SUM(K133:K135)</f>
        <v>-202803</v>
      </c>
      <c r="L136" s="98">
        <v>-245000</v>
      </c>
      <c r="M136" s="98">
        <v>-23852</v>
      </c>
      <c r="N136" s="98">
        <v>-245000</v>
      </c>
      <c r="O136" s="159">
        <f>SUM(O134)</f>
        <v>-200000</v>
      </c>
    </row>
    <row r="137" spans="1:15" ht="14.1" customHeight="1">
      <c r="A137"/>
      <c r="B137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209"/>
    </row>
    <row r="138" spans="1:15" ht="15.95" customHeight="1">
      <c r="A138"/>
      <c r="B138" s="5" t="s">
        <v>364</v>
      </c>
      <c r="C138" s="89">
        <f t="shared" ref="C138" si="2">SUM(C131+C136)</f>
        <v>-91468</v>
      </c>
      <c r="D138" s="89">
        <f t="shared" ref="D138:E138" si="3">SUM(D131+D136)</f>
        <v>478035</v>
      </c>
      <c r="E138" s="89">
        <f t="shared" si="3"/>
        <v>369393</v>
      </c>
      <c r="F138" s="89">
        <f t="shared" ref="F138:M138" si="4">SUM(F131+F136)</f>
        <v>-220920</v>
      </c>
      <c r="G138" s="89">
        <f t="shared" si="4"/>
        <v>0</v>
      </c>
      <c r="H138" s="89">
        <f t="shared" si="4"/>
        <v>0</v>
      </c>
      <c r="I138" s="89">
        <f t="shared" si="4"/>
        <v>0</v>
      </c>
      <c r="J138" s="89">
        <f t="shared" si="4"/>
        <v>0</v>
      </c>
      <c r="K138" s="89">
        <f t="shared" si="4"/>
        <v>341327</v>
      </c>
      <c r="L138" s="89">
        <f t="shared" si="4"/>
        <v>-256380</v>
      </c>
      <c r="M138" s="89">
        <f t="shared" si="4"/>
        <v>464041</v>
      </c>
      <c r="N138" s="89">
        <f t="shared" ref="N138:O138" si="5">SUM(N131+N136)</f>
        <v>-63666</v>
      </c>
      <c r="O138" s="208">
        <f t="shared" si="5"/>
        <v>48467</v>
      </c>
    </row>
    <row r="139" spans="1:15" ht="12.75" customHeight="1">
      <c r="B139" s="5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158"/>
    </row>
    <row r="140" spans="1:15" ht="15" customHeight="1">
      <c r="B140" s="5" t="s">
        <v>389</v>
      </c>
      <c r="C140" s="98">
        <v>477271</v>
      </c>
      <c r="D140" s="98" t="e">
        <f>#REF!</f>
        <v>#REF!</v>
      </c>
      <c r="E140" s="98">
        <v>531435</v>
      </c>
      <c r="F140" s="98">
        <v>984282</v>
      </c>
      <c r="G140" s="98"/>
      <c r="H140" s="98"/>
      <c r="I140" s="98"/>
      <c r="J140" s="98"/>
      <c r="K140" s="118">
        <v>900541</v>
      </c>
      <c r="L140" s="98">
        <v>1206573</v>
      </c>
      <c r="M140" s="265">
        <v>1985631</v>
      </c>
      <c r="N140" s="265">
        <v>1985631</v>
      </c>
      <c r="O140" s="266">
        <f>N142</f>
        <v>1921965</v>
      </c>
    </row>
    <row r="141" spans="1:15" ht="12.75" customHeight="1"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158"/>
    </row>
    <row r="142" spans="1:15" ht="15" customHeight="1" thickBot="1">
      <c r="B142" s="5" t="s">
        <v>361</v>
      </c>
      <c r="C142" s="117">
        <f t="shared" ref="C142:E142" si="6">C138+C140</f>
        <v>385803</v>
      </c>
      <c r="D142" s="117" t="e">
        <f>D138+D140</f>
        <v>#REF!</v>
      </c>
      <c r="E142" s="206">
        <f t="shared" si="6"/>
        <v>900828</v>
      </c>
      <c r="F142" s="206">
        <f t="shared" ref="F142:M142" si="7">F138+F140</f>
        <v>763362</v>
      </c>
      <c r="G142" s="206">
        <f t="shared" si="7"/>
        <v>0</v>
      </c>
      <c r="H142" s="206">
        <f t="shared" si="7"/>
        <v>0</v>
      </c>
      <c r="I142" s="206">
        <f t="shared" si="7"/>
        <v>0</v>
      </c>
      <c r="J142" s="206">
        <f t="shared" si="7"/>
        <v>0</v>
      </c>
      <c r="K142" s="206">
        <f t="shared" si="7"/>
        <v>1241868</v>
      </c>
      <c r="L142" s="206">
        <f t="shared" si="7"/>
        <v>950193</v>
      </c>
      <c r="M142" s="206">
        <f t="shared" si="7"/>
        <v>2449672</v>
      </c>
      <c r="N142" s="206">
        <f t="shared" ref="N142:O142" si="8">N138+N140</f>
        <v>1921965</v>
      </c>
      <c r="O142" s="249">
        <f t="shared" si="8"/>
        <v>1970432</v>
      </c>
    </row>
    <row r="143" spans="1:15" ht="21" customHeight="1" thickTop="1">
      <c r="B143" s="5" t="s">
        <v>346</v>
      </c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 ht="12.75" customHeight="1"/>
    <row r="145" spans="2:14" ht="12.75" customHeight="1">
      <c r="B145" s="22"/>
    </row>
    <row r="146" spans="2:14">
      <c r="C146" s="4"/>
      <c r="D146" s="4"/>
      <c r="E146" s="152"/>
    </row>
    <row r="147" spans="2:14">
      <c r="C147" s="4"/>
      <c r="D147" s="4"/>
      <c r="I147"/>
    </row>
    <row r="148" spans="2:14">
      <c r="B148" s="79" t="s">
        <v>346</v>
      </c>
      <c r="C148" s="78"/>
      <c r="D148" s="78"/>
      <c r="E148" s="78" t="s">
        <v>346</v>
      </c>
      <c r="J148"/>
      <c r="K148"/>
      <c r="L148"/>
      <c r="M148"/>
      <c r="N148"/>
    </row>
    <row r="149" spans="2:14">
      <c r="C149" s="4"/>
      <c r="D149" s="4"/>
      <c r="I149"/>
      <c r="J149"/>
      <c r="K149"/>
      <c r="L149"/>
      <c r="M149"/>
      <c r="N149"/>
    </row>
  </sheetData>
  <mergeCells count="5">
    <mergeCell ref="B2:D2"/>
    <mergeCell ref="A5:F5"/>
    <mergeCell ref="A1:O1"/>
    <mergeCell ref="A3:O3"/>
    <mergeCell ref="A4:O4"/>
  </mergeCells>
  <phoneticPr fontId="23" type="noConversion"/>
  <printOptions horizontalCentered="1"/>
  <pageMargins left="0.25" right="0.25" top="0.75" bottom="0.75" header="0.3" footer="0.3"/>
  <pageSetup paperSize="5" scale="110" firstPageNumber="8" fitToHeight="3" orientation="landscape" r:id="rId1"/>
  <headerFooter alignWithMargins="0">
    <oddFooter>&amp;C&amp;K000000&amp;P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opLeftCell="A22" workbookViewId="0">
      <selection activeCell="F30" sqref="F30"/>
    </sheetView>
  </sheetViews>
  <sheetFormatPr defaultColWidth="8.85546875" defaultRowHeight="12.75"/>
  <cols>
    <col min="1" max="1" width="24.7109375" bestFit="1" customWidth="1"/>
    <col min="2" max="2" width="1.85546875" customWidth="1"/>
    <col min="3" max="4" width="11.28515625" style="8" bestFit="1" customWidth="1"/>
    <col min="5" max="5" width="12.7109375" bestFit="1" customWidth="1"/>
    <col min="6" max="6" width="12.85546875" style="10" bestFit="1" customWidth="1"/>
    <col min="7" max="7" width="44.7109375" bestFit="1" customWidth="1"/>
  </cols>
  <sheetData>
    <row r="1" spans="1:7">
      <c r="A1" s="279" t="s">
        <v>227</v>
      </c>
      <c r="B1" s="279"/>
      <c r="C1" s="279"/>
      <c r="D1" s="279"/>
      <c r="E1" s="279"/>
      <c r="F1" s="279"/>
      <c r="G1" s="279"/>
    </row>
    <row r="2" spans="1:7">
      <c r="A2" s="279" t="s">
        <v>228</v>
      </c>
      <c r="B2" s="279"/>
      <c r="C2" s="279"/>
      <c r="D2" s="279"/>
      <c r="E2" s="279"/>
      <c r="F2" s="279"/>
      <c r="G2" s="279"/>
    </row>
    <row r="3" spans="1:7">
      <c r="A3" s="279" t="s">
        <v>229</v>
      </c>
      <c r="B3" s="279"/>
      <c r="C3" s="279"/>
      <c r="D3" s="279"/>
      <c r="E3" s="279"/>
      <c r="F3" s="279"/>
      <c r="G3" s="279"/>
    </row>
    <row r="4" spans="1:7">
      <c r="A4" s="279"/>
      <c r="B4" s="279"/>
      <c r="C4" s="279"/>
      <c r="D4" s="279"/>
      <c r="E4" s="279"/>
      <c r="F4" s="279"/>
      <c r="G4" s="279"/>
    </row>
    <row r="8" spans="1:7">
      <c r="C8" s="8" t="s">
        <v>326</v>
      </c>
      <c r="D8" s="8" t="s">
        <v>318</v>
      </c>
      <c r="E8" s="8" t="s">
        <v>324</v>
      </c>
      <c r="F8" s="9" t="s">
        <v>325</v>
      </c>
    </row>
    <row r="10" spans="1:7">
      <c r="A10" t="s">
        <v>298</v>
      </c>
      <c r="C10" s="9"/>
      <c r="D10" s="9">
        <f>138578+101603+218</f>
        <v>240399</v>
      </c>
      <c r="E10" s="9">
        <f>D10*0.2</f>
        <v>48079.8</v>
      </c>
      <c r="F10" s="10">
        <f>SUM(C10:E10)</f>
        <v>288478.8</v>
      </c>
      <c r="G10" t="s">
        <v>337</v>
      </c>
    </row>
    <row r="11" spans="1:7">
      <c r="A11" t="s">
        <v>299</v>
      </c>
      <c r="C11" s="9"/>
      <c r="D11" s="9">
        <f>77208+18749</f>
        <v>95957</v>
      </c>
      <c r="E11" s="9">
        <f>D11*0.2</f>
        <v>19191.400000000001</v>
      </c>
      <c r="F11" s="10">
        <f t="shared" ref="F11:F22" si="0">SUM(C11:E11)</f>
        <v>115148.4</v>
      </c>
      <c r="G11" t="s">
        <v>337</v>
      </c>
    </row>
    <row r="12" spans="1:7">
      <c r="A12" t="s">
        <v>300</v>
      </c>
      <c r="C12" s="9"/>
      <c r="D12" s="9">
        <v>24829</v>
      </c>
      <c r="E12" s="9">
        <f>D12*0.2</f>
        <v>4965.8</v>
      </c>
      <c r="F12" s="10">
        <f t="shared" si="0"/>
        <v>29794.799999999999</v>
      </c>
      <c r="G12" t="s">
        <v>337</v>
      </c>
    </row>
    <row r="13" spans="1:7">
      <c r="A13" t="s">
        <v>301</v>
      </c>
      <c r="C13" s="9"/>
      <c r="D13" s="9">
        <v>64235</v>
      </c>
      <c r="E13" s="9">
        <f>D13*0.2</f>
        <v>12847</v>
      </c>
      <c r="F13" s="10">
        <f t="shared" si="0"/>
        <v>77082</v>
      </c>
      <c r="G13" t="s">
        <v>337</v>
      </c>
    </row>
    <row r="14" spans="1:7">
      <c r="A14" t="s">
        <v>302</v>
      </c>
      <c r="C14" s="9"/>
      <c r="D14" s="9">
        <f>1500+22914+1000</f>
        <v>25414</v>
      </c>
      <c r="E14" s="9">
        <f>D14*0.2</f>
        <v>5082.8</v>
      </c>
      <c r="F14" s="10">
        <f t="shared" si="0"/>
        <v>30496.799999999999</v>
      </c>
      <c r="G14" t="s">
        <v>337</v>
      </c>
    </row>
    <row r="15" spans="1:7">
      <c r="A15" t="s">
        <v>330</v>
      </c>
      <c r="C15" s="9"/>
      <c r="D15" s="9">
        <f>6+3343+12+82+212.75+25+4008</f>
        <v>7688.75</v>
      </c>
      <c r="E15" s="9">
        <v>5000</v>
      </c>
      <c r="F15" s="10">
        <f t="shared" si="0"/>
        <v>12688.75</v>
      </c>
      <c r="G15" t="s">
        <v>337</v>
      </c>
    </row>
    <row r="16" spans="1:7">
      <c r="C16" s="9"/>
      <c r="D16" s="9"/>
      <c r="E16" s="9"/>
      <c r="F16" s="10">
        <f t="shared" si="0"/>
        <v>0</v>
      </c>
    </row>
    <row r="17" spans="1:7">
      <c r="A17" t="s">
        <v>271</v>
      </c>
      <c r="C17" s="9">
        <f>494864-C19</f>
        <v>494864</v>
      </c>
      <c r="D17" s="9"/>
      <c r="E17" s="9">
        <v>34661</v>
      </c>
      <c r="F17" s="10">
        <f t="shared" si="0"/>
        <v>529525</v>
      </c>
      <c r="G17" t="s">
        <v>338</v>
      </c>
    </row>
    <row r="18" spans="1:7">
      <c r="A18" t="s">
        <v>314</v>
      </c>
      <c r="C18" s="9">
        <v>54210</v>
      </c>
      <c r="D18" s="9"/>
      <c r="E18" s="9">
        <v>24657</v>
      </c>
      <c r="F18" s="10">
        <f t="shared" si="0"/>
        <v>78867</v>
      </c>
      <c r="G18" t="s">
        <v>338</v>
      </c>
    </row>
    <row r="19" spans="1:7">
      <c r="A19" t="s">
        <v>336</v>
      </c>
      <c r="C19" s="9"/>
      <c r="D19" s="9"/>
      <c r="E19" s="9">
        <v>0</v>
      </c>
      <c r="F19" s="10">
        <f t="shared" si="0"/>
        <v>0</v>
      </c>
    </row>
    <row r="20" spans="1:7">
      <c r="A20" t="s">
        <v>316</v>
      </c>
      <c r="C20" s="9"/>
      <c r="D20" s="9"/>
      <c r="E20" s="9">
        <v>4400</v>
      </c>
      <c r="F20" s="10">
        <f t="shared" si="0"/>
        <v>4400</v>
      </c>
      <c r="G20" t="s">
        <v>339</v>
      </c>
    </row>
    <row r="21" spans="1:7">
      <c r="A21" t="s">
        <v>317</v>
      </c>
      <c r="C21" s="9"/>
      <c r="D21" s="9"/>
      <c r="E21" s="9">
        <v>10644</v>
      </c>
      <c r="F21" s="10">
        <f t="shared" si="0"/>
        <v>10644</v>
      </c>
      <c r="G21" t="s">
        <v>339</v>
      </c>
    </row>
    <row r="22" spans="1:7">
      <c r="A22" t="s">
        <v>289</v>
      </c>
      <c r="C22" s="9">
        <f>1966+1124</f>
        <v>3090</v>
      </c>
      <c r="D22" s="9"/>
      <c r="E22" s="9">
        <f>3090/8*5</f>
        <v>1931.25</v>
      </c>
      <c r="F22" s="10">
        <f t="shared" si="0"/>
        <v>5021.25</v>
      </c>
      <c r="G22" t="s">
        <v>340</v>
      </c>
    </row>
    <row r="23" spans="1:7">
      <c r="C23" s="9"/>
      <c r="D23" s="9"/>
      <c r="E23" s="9"/>
    </row>
    <row r="24" spans="1:7" ht="13.5" thickBot="1">
      <c r="A24" t="s">
        <v>286</v>
      </c>
      <c r="C24" s="13">
        <f>SUM(C10:C23)</f>
        <v>552164</v>
      </c>
      <c r="D24" s="13">
        <f>SUM(D10:D23)</f>
        <v>458522.75</v>
      </c>
      <c r="E24" s="13">
        <f>SUM(E10:E23)</f>
        <v>171460.05000000002</v>
      </c>
      <c r="F24" s="13">
        <f>SUM(F10:F23)</f>
        <v>1182146.7999999998</v>
      </c>
    </row>
    <row r="25" spans="1:7" ht="13.5" thickTop="1">
      <c r="C25" s="9"/>
      <c r="D25" s="9"/>
      <c r="E25" s="9"/>
    </row>
    <row r="26" spans="1:7">
      <c r="A26" t="s">
        <v>303</v>
      </c>
      <c r="C26" s="9"/>
      <c r="D26" s="9">
        <v>154484</v>
      </c>
      <c r="E26" s="9">
        <f>21654+15500+15500+18500</f>
        <v>71154</v>
      </c>
      <c r="F26" s="10">
        <f t="shared" ref="F26:F50" si="1">SUM(C26:E26)</f>
        <v>225638</v>
      </c>
      <c r="G26" t="s">
        <v>342</v>
      </c>
    </row>
    <row r="27" spans="1:7">
      <c r="A27" t="s">
        <v>327</v>
      </c>
      <c r="C27" s="9">
        <v>2432.4499999999998</v>
      </c>
      <c r="D27" s="9"/>
      <c r="E27" s="9"/>
      <c r="F27" s="10">
        <f t="shared" si="1"/>
        <v>2432.4499999999998</v>
      </c>
      <c r="G27" t="s">
        <v>265</v>
      </c>
    </row>
    <row r="28" spans="1:7">
      <c r="A28" t="s">
        <v>329</v>
      </c>
      <c r="C28" s="9">
        <v>24717</v>
      </c>
      <c r="D28" s="9"/>
      <c r="E28" s="9">
        <f>5500*5</f>
        <v>27500</v>
      </c>
      <c r="F28" s="10">
        <f t="shared" si="1"/>
        <v>52217</v>
      </c>
      <c r="G28" t="s">
        <v>343</v>
      </c>
    </row>
    <row r="29" spans="1:7">
      <c r="A29" t="s">
        <v>304</v>
      </c>
      <c r="C29" s="9">
        <v>11595</v>
      </c>
      <c r="D29" s="9"/>
      <c r="E29" s="9">
        <f>5000+12000+6000*5</f>
        <v>47000</v>
      </c>
      <c r="F29" s="10">
        <f t="shared" si="1"/>
        <v>58595</v>
      </c>
      <c r="G29" t="s">
        <v>344</v>
      </c>
    </row>
    <row r="30" spans="1:7">
      <c r="A30" t="s">
        <v>328</v>
      </c>
      <c r="C30" s="9">
        <v>46269</v>
      </c>
      <c r="D30" s="9"/>
      <c r="E30" s="9">
        <f>21600+40000</f>
        <v>61600</v>
      </c>
      <c r="F30" s="10">
        <f t="shared" si="1"/>
        <v>107869</v>
      </c>
      <c r="G30" t="s">
        <v>224</v>
      </c>
    </row>
    <row r="31" spans="1:7">
      <c r="A31" t="s">
        <v>305</v>
      </c>
      <c r="C31" s="9">
        <v>508</v>
      </c>
      <c r="D31" s="9">
        <v>67783</v>
      </c>
      <c r="E31" s="9">
        <f>D31*0.2</f>
        <v>13556.6</v>
      </c>
      <c r="F31" s="10">
        <f t="shared" si="1"/>
        <v>81847.600000000006</v>
      </c>
      <c r="G31" t="s">
        <v>337</v>
      </c>
    </row>
    <row r="32" spans="1:7">
      <c r="A32" t="s">
        <v>306</v>
      </c>
      <c r="C32" s="9"/>
      <c r="D32" s="9">
        <v>79349</v>
      </c>
      <c r="E32" s="9">
        <f>D32*0.2</f>
        <v>15869.800000000001</v>
      </c>
      <c r="F32" s="10">
        <f t="shared" si="1"/>
        <v>95218.8</v>
      </c>
      <c r="G32" t="s">
        <v>337</v>
      </c>
    </row>
    <row r="33" spans="1:7">
      <c r="A33" t="s">
        <v>291</v>
      </c>
      <c r="C33" s="9"/>
      <c r="D33" s="9">
        <v>64968</v>
      </c>
      <c r="E33" s="9">
        <f>D33*0.2</f>
        <v>12993.6</v>
      </c>
      <c r="F33" s="10">
        <f t="shared" si="1"/>
        <v>77961.600000000006</v>
      </c>
      <c r="G33" t="s">
        <v>337</v>
      </c>
    </row>
    <row r="34" spans="1:7">
      <c r="A34" t="s">
        <v>307</v>
      </c>
      <c r="C34" s="9"/>
      <c r="D34" s="9">
        <v>37362</v>
      </c>
      <c r="E34" s="9">
        <f>37362/8*5</f>
        <v>23351.25</v>
      </c>
      <c r="F34" s="10">
        <f t="shared" si="1"/>
        <v>60713.25</v>
      </c>
      <c r="G34" t="s">
        <v>340</v>
      </c>
    </row>
    <row r="35" spans="1:7">
      <c r="A35" t="s">
        <v>308</v>
      </c>
      <c r="C35" s="9">
        <f>30.77+342.55+330.7+1215.9+1561+158</f>
        <v>3638.92</v>
      </c>
      <c r="D35" s="9">
        <f>8256+1094+3373+1285+900+133+1918+1292-339</f>
        <v>17912</v>
      </c>
      <c r="E35" s="9">
        <f>21551/8*5</f>
        <v>13469.375</v>
      </c>
      <c r="F35" s="10">
        <f t="shared" si="1"/>
        <v>35020.294999999998</v>
      </c>
      <c r="G35" t="s">
        <v>340</v>
      </c>
    </row>
    <row r="36" spans="1:7">
      <c r="A36" t="s">
        <v>292</v>
      </c>
      <c r="C36" s="9">
        <v>14910</v>
      </c>
      <c r="D36" s="9"/>
      <c r="E36" s="9">
        <f>E17*3%</f>
        <v>1039.83</v>
      </c>
      <c r="F36" s="10">
        <f t="shared" si="1"/>
        <v>15949.83</v>
      </c>
      <c r="G36" t="s">
        <v>226</v>
      </c>
    </row>
    <row r="37" spans="1:7">
      <c r="A37" t="s">
        <v>309</v>
      </c>
      <c r="C37" s="9"/>
      <c r="D37" s="9"/>
      <c r="E37" s="9"/>
      <c r="F37" s="10">
        <f t="shared" si="1"/>
        <v>0</v>
      </c>
    </row>
    <row r="38" spans="1:7">
      <c r="A38" t="s">
        <v>310</v>
      </c>
      <c r="C38" s="9"/>
      <c r="D38" s="9"/>
      <c r="E38" s="9"/>
      <c r="F38" s="10">
        <f t="shared" si="1"/>
        <v>0</v>
      </c>
    </row>
    <row r="39" spans="1:7">
      <c r="A39" t="s">
        <v>311</v>
      </c>
      <c r="C39" s="9"/>
      <c r="D39" s="9">
        <v>9883</v>
      </c>
      <c r="E39" s="9">
        <v>5000</v>
      </c>
      <c r="F39" s="10">
        <f t="shared" si="1"/>
        <v>14883</v>
      </c>
      <c r="G39" t="s">
        <v>225</v>
      </c>
    </row>
    <row r="40" spans="1:7">
      <c r="A40" t="s">
        <v>312</v>
      </c>
      <c r="C40" s="9"/>
      <c r="D40" s="9"/>
      <c r="E40" s="9"/>
      <c r="F40" s="10">
        <f t="shared" si="1"/>
        <v>0</v>
      </c>
    </row>
    <row r="41" spans="1:7">
      <c r="A41" t="s">
        <v>331</v>
      </c>
      <c r="C41" s="9"/>
      <c r="D41" s="9">
        <v>3989</v>
      </c>
      <c r="E41" s="9"/>
      <c r="F41" s="10">
        <f t="shared" si="1"/>
        <v>3989</v>
      </c>
      <c r="G41" t="s">
        <v>265</v>
      </c>
    </row>
    <row r="42" spans="1:7">
      <c r="A42" t="s">
        <v>313</v>
      </c>
      <c r="C42" s="9"/>
      <c r="D42" s="9"/>
      <c r="E42" s="9">
        <v>360000</v>
      </c>
      <c r="F42" s="10">
        <f t="shared" si="1"/>
        <v>360000</v>
      </c>
      <c r="G42" t="s">
        <v>339</v>
      </c>
    </row>
    <row r="43" spans="1:7">
      <c r="A43" t="s">
        <v>315</v>
      </c>
      <c r="C43" s="9"/>
      <c r="D43" s="9">
        <f>12101+19647+8349+1387+10909</f>
        <v>52393</v>
      </c>
      <c r="E43" s="9">
        <f>-8349+44044/8*5</f>
        <v>19178.5</v>
      </c>
      <c r="F43" s="10">
        <f t="shared" si="1"/>
        <v>71571.5</v>
      </c>
      <c r="G43" t="s">
        <v>340</v>
      </c>
    </row>
    <row r="44" spans="1:7">
      <c r="A44" t="s">
        <v>319</v>
      </c>
      <c r="C44" s="9"/>
      <c r="D44" s="9"/>
      <c r="E44" s="9"/>
      <c r="F44" s="10">
        <f t="shared" si="1"/>
        <v>0</v>
      </c>
    </row>
    <row r="45" spans="1:7">
      <c r="A45" t="s">
        <v>320</v>
      </c>
      <c r="C45" s="9"/>
      <c r="D45" s="9"/>
      <c r="E45" s="9"/>
      <c r="F45" s="10">
        <f t="shared" si="1"/>
        <v>0</v>
      </c>
    </row>
    <row r="46" spans="1:7">
      <c r="A46" t="s">
        <v>293</v>
      </c>
      <c r="C46" s="9"/>
      <c r="D46" s="9"/>
      <c r="E46" s="9"/>
      <c r="F46" s="10">
        <f t="shared" si="1"/>
        <v>0</v>
      </c>
    </row>
    <row r="47" spans="1:7">
      <c r="A47" t="s">
        <v>294</v>
      </c>
      <c r="C47" s="9"/>
      <c r="D47" s="9"/>
      <c r="E47" s="9"/>
      <c r="F47" s="10">
        <f t="shared" si="1"/>
        <v>0</v>
      </c>
    </row>
    <row r="48" spans="1:7">
      <c r="A48" t="s">
        <v>323</v>
      </c>
      <c r="C48" s="9"/>
      <c r="D48" s="9">
        <f>-19500</f>
        <v>-19500</v>
      </c>
      <c r="E48" s="9">
        <v>115000</v>
      </c>
      <c r="F48" s="10">
        <f t="shared" si="1"/>
        <v>95500</v>
      </c>
      <c r="G48" t="s">
        <v>341</v>
      </c>
    </row>
    <row r="49" spans="1:6">
      <c r="A49" t="s">
        <v>321</v>
      </c>
      <c r="C49" s="9"/>
      <c r="D49" s="9"/>
      <c r="E49" s="9"/>
      <c r="F49" s="10">
        <f t="shared" si="1"/>
        <v>0</v>
      </c>
    </row>
    <row r="50" spans="1:6">
      <c r="A50" t="s">
        <v>322</v>
      </c>
      <c r="C50" s="9"/>
      <c r="D50" s="9"/>
      <c r="E50" s="9"/>
      <c r="F50" s="10">
        <f t="shared" si="1"/>
        <v>0</v>
      </c>
    </row>
    <row r="51" spans="1:6">
      <c r="C51" s="9"/>
      <c r="D51" s="9"/>
      <c r="E51" s="9"/>
    </row>
    <row r="52" spans="1:6">
      <c r="A52" t="s">
        <v>332</v>
      </c>
      <c r="C52" s="9">
        <f>SUM(C26:C51)</f>
        <v>104070.37</v>
      </c>
      <c r="D52" s="9">
        <f>SUM(D26:D51)</f>
        <v>468623</v>
      </c>
      <c r="E52" s="9">
        <f>SUM(E26:E51)</f>
        <v>786712.95500000007</v>
      </c>
      <c r="F52" s="12">
        <f>SUM(F26:F51)</f>
        <v>1359406.3250000002</v>
      </c>
    </row>
    <row r="53" spans="1:6">
      <c r="C53" s="9"/>
      <c r="D53" s="9"/>
      <c r="E53" s="9"/>
    </row>
    <row r="54" spans="1:6">
      <c r="A54" t="s">
        <v>333</v>
      </c>
      <c r="C54" s="9">
        <f>C24-C52</f>
        <v>448093.63</v>
      </c>
      <c r="D54" s="9">
        <f>D24-D52</f>
        <v>-10100.25</v>
      </c>
      <c r="E54" s="9">
        <f>E24-E52</f>
        <v>-615252.90500000003</v>
      </c>
      <c r="F54" s="9">
        <f>F24-F52</f>
        <v>-177259.52500000037</v>
      </c>
    </row>
    <row r="55" spans="1:6">
      <c r="C55" s="9"/>
      <c r="D55" s="9"/>
      <c r="E55" s="9"/>
    </row>
    <row r="56" spans="1:6">
      <c r="A56" t="s">
        <v>334</v>
      </c>
      <c r="C56" s="9"/>
      <c r="D56" s="9"/>
      <c r="E56" s="9"/>
      <c r="F56" s="9">
        <v>3861917</v>
      </c>
    </row>
    <row r="57" spans="1:6">
      <c r="C57" s="9"/>
      <c r="D57" s="9"/>
      <c r="E57" s="9"/>
    </row>
    <row r="58" spans="1:6" ht="13.5" thickBot="1">
      <c r="A58" t="s">
        <v>335</v>
      </c>
      <c r="C58" s="9"/>
      <c r="D58" s="9"/>
      <c r="E58" s="9"/>
      <c r="F58" s="11">
        <f>F54+F56</f>
        <v>3684657.4749999996</v>
      </c>
    </row>
    <row r="59" spans="1:6" ht="13.5" thickTop="1"/>
  </sheetData>
  <mergeCells count="4">
    <mergeCell ref="A1:G1"/>
    <mergeCell ref="A2:G2"/>
    <mergeCell ref="A3:G3"/>
    <mergeCell ref="A4:G4"/>
  </mergeCells>
  <phoneticPr fontId="23" type="noConversion"/>
  <pageMargins left="0.43" right="0.25" top="0.77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22" zoomScale="123" zoomScaleNormal="150" zoomScaleSheetLayoutView="85" zoomScalePageLayoutView="150" workbookViewId="0">
      <selection activeCell="B27" sqref="B27"/>
    </sheetView>
  </sheetViews>
  <sheetFormatPr defaultColWidth="9.140625" defaultRowHeight="12.75"/>
  <cols>
    <col min="1" max="1" width="0.140625" style="67" customWidth="1"/>
    <col min="2" max="2" width="46.5703125" style="67" customWidth="1"/>
    <col min="3" max="8" width="12.85546875" style="67" hidden="1" customWidth="1"/>
    <col min="9" max="9" width="12.85546875" style="106" customWidth="1"/>
    <col min="10" max="12" width="12.28515625" style="106" customWidth="1"/>
    <col min="13" max="13" width="12" style="67" customWidth="1"/>
    <col min="14" max="14" width="14.5703125" style="67" bestFit="1" customWidth="1"/>
    <col min="15" max="16384" width="9.140625" style="67"/>
  </cols>
  <sheetData>
    <row r="1" spans="1:15" ht="42" customHeight="1">
      <c r="A1" s="289" t="s">
        <v>350</v>
      </c>
      <c r="B1" s="282"/>
      <c r="C1" s="282"/>
      <c r="D1" s="282"/>
      <c r="E1" s="282"/>
      <c r="F1" s="282"/>
      <c r="G1" s="282"/>
      <c r="H1" s="282"/>
      <c r="I1" s="282"/>
      <c r="J1" s="284"/>
      <c r="K1" s="284"/>
      <c r="L1" s="284"/>
      <c r="M1" s="281"/>
      <c r="N1" s="281"/>
    </row>
    <row r="2" spans="1:15" ht="18">
      <c r="A2" s="290" t="s">
        <v>270</v>
      </c>
      <c r="B2" s="286"/>
      <c r="C2" s="286"/>
      <c r="D2" s="286"/>
      <c r="E2" s="286"/>
      <c r="F2" s="286"/>
      <c r="G2" s="286"/>
      <c r="H2" s="286"/>
      <c r="I2" s="286"/>
      <c r="J2" s="281"/>
      <c r="K2" s="281"/>
      <c r="L2" s="281"/>
      <c r="M2" s="281"/>
      <c r="N2" s="281"/>
    </row>
    <row r="3" spans="1:15" ht="18" customHeight="1">
      <c r="B3" s="287" t="s">
        <v>427</v>
      </c>
      <c r="C3" s="288"/>
      <c r="D3" s="288"/>
      <c r="E3" s="288"/>
      <c r="F3" s="288"/>
      <c r="G3" s="288"/>
      <c r="H3" s="288"/>
      <c r="I3" s="288"/>
      <c r="J3" s="281"/>
      <c r="K3" s="281"/>
      <c r="L3" s="281"/>
      <c r="M3" s="281"/>
      <c r="N3" s="281"/>
    </row>
    <row r="4" spans="1:15" ht="3" customHeight="1">
      <c r="B4" s="279" t="s">
        <v>346</v>
      </c>
      <c r="C4" s="281"/>
      <c r="D4" s="281"/>
      <c r="E4" s="281"/>
      <c r="F4" s="281"/>
      <c r="G4" s="281"/>
      <c r="H4" s="281"/>
      <c r="I4" s="281"/>
      <c r="J4" s="281"/>
      <c r="K4"/>
      <c r="L4"/>
    </row>
    <row r="5" spans="1:15" ht="15" customHeight="1" thickBot="1"/>
    <row r="6" spans="1:15" s="68" customFormat="1" ht="13.5" customHeight="1" thickTop="1">
      <c r="C6" s="14"/>
      <c r="D6" s="14"/>
      <c r="E6" s="14"/>
      <c r="F6" s="14"/>
      <c r="G6" s="82" t="s">
        <v>360</v>
      </c>
      <c r="H6" s="82">
        <v>2023</v>
      </c>
      <c r="I6" s="82" t="s">
        <v>435</v>
      </c>
      <c r="J6" s="82" t="s">
        <v>435</v>
      </c>
      <c r="K6" s="82" t="s">
        <v>360</v>
      </c>
      <c r="L6" s="82" t="s">
        <v>414</v>
      </c>
      <c r="M6" s="82" t="s">
        <v>424</v>
      </c>
      <c r="N6" s="212" t="s">
        <v>417</v>
      </c>
    </row>
    <row r="7" spans="1:15" s="68" customFormat="1" ht="30" customHeight="1" thickBot="1">
      <c r="C7" s="20" t="s">
        <v>371</v>
      </c>
      <c r="D7" s="20" t="s">
        <v>372</v>
      </c>
      <c r="E7" s="20" t="s">
        <v>373</v>
      </c>
      <c r="F7" s="20" t="s">
        <v>374</v>
      </c>
      <c r="G7" s="83" t="s">
        <v>381</v>
      </c>
      <c r="H7" s="83" t="s">
        <v>406</v>
      </c>
      <c r="I7" s="83">
        <v>2023</v>
      </c>
      <c r="J7" s="83">
        <v>2024</v>
      </c>
      <c r="K7" s="83">
        <v>2025</v>
      </c>
      <c r="L7" s="224">
        <v>45863</v>
      </c>
      <c r="M7" s="198" t="s">
        <v>425</v>
      </c>
      <c r="N7" s="213" t="s">
        <v>426</v>
      </c>
    </row>
    <row r="8" spans="1:15" ht="15.95" customHeight="1" thickTop="1">
      <c r="B8" s="72" t="s">
        <v>267</v>
      </c>
      <c r="C8" s="71"/>
      <c r="D8" s="71"/>
      <c r="E8" s="71"/>
      <c r="F8" s="71"/>
      <c r="G8" s="81"/>
      <c r="H8" s="102"/>
      <c r="I8" s="81"/>
      <c r="J8" s="81"/>
      <c r="K8" s="81"/>
      <c r="L8" s="81"/>
      <c r="M8" s="81"/>
      <c r="N8" s="214"/>
    </row>
    <row r="9" spans="1:15" ht="3" customHeight="1">
      <c r="C9" s="70"/>
      <c r="D9" s="70"/>
      <c r="E9" s="70"/>
      <c r="F9" s="70"/>
      <c r="G9" s="81"/>
      <c r="H9" s="102"/>
      <c r="I9" s="81"/>
      <c r="J9" s="81"/>
      <c r="K9" s="81"/>
      <c r="L9" s="81"/>
      <c r="M9" s="81"/>
      <c r="N9" s="214"/>
    </row>
    <row r="10" spans="1:15" ht="3" customHeight="1">
      <c r="C10" s="70"/>
      <c r="D10" s="70"/>
      <c r="E10" s="70"/>
      <c r="F10" s="70"/>
      <c r="G10" s="81"/>
      <c r="H10" s="102"/>
      <c r="I10" s="81"/>
      <c r="J10" s="81"/>
      <c r="K10" s="81"/>
      <c r="L10" s="81"/>
      <c r="M10" s="81"/>
      <c r="N10" s="214"/>
    </row>
    <row r="11" spans="1:15" ht="12.75" customHeight="1">
      <c r="A11" s="3"/>
      <c r="B11" s="22" t="s">
        <v>409</v>
      </c>
      <c r="C11" s="6">
        <v>0</v>
      </c>
      <c r="D11" s="6"/>
      <c r="E11" s="6"/>
      <c r="F11" s="6"/>
      <c r="G11" s="84">
        <v>0</v>
      </c>
      <c r="H11" s="122">
        <v>145672</v>
      </c>
      <c r="I11" s="154">
        <v>15463</v>
      </c>
      <c r="J11" s="154">
        <v>122863</v>
      </c>
      <c r="K11" s="154">
        <v>0</v>
      </c>
      <c r="L11" s="154">
        <v>0</v>
      </c>
      <c r="M11" s="154">
        <v>0</v>
      </c>
      <c r="N11" s="215">
        <v>0</v>
      </c>
      <c r="O11" s="194" t="s">
        <v>346</v>
      </c>
    </row>
    <row r="12" spans="1:15" ht="12.75" customHeight="1">
      <c r="A12" s="3"/>
      <c r="B12" s="22" t="s">
        <v>433</v>
      </c>
      <c r="C12" s="6"/>
      <c r="D12" s="6"/>
      <c r="E12" s="6"/>
      <c r="F12" s="6"/>
      <c r="G12" s="84"/>
      <c r="H12" s="122"/>
      <c r="I12" s="152">
        <v>9960</v>
      </c>
      <c r="J12" s="152">
        <v>7572</v>
      </c>
      <c r="K12" s="152">
        <v>86696</v>
      </c>
      <c r="L12" s="152">
        <v>39130</v>
      </c>
      <c r="M12" s="152">
        <v>86696</v>
      </c>
      <c r="N12" s="216">
        <v>0</v>
      </c>
    </row>
    <row r="13" spans="1:15" ht="12.75" customHeight="1">
      <c r="A13" s="3"/>
      <c r="B13" s="22" t="s">
        <v>439</v>
      </c>
      <c r="C13" s="6"/>
      <c r="D13" s="6"/>
      <c r="E13" s="6"/>
      <c r="F13" s="6"/>
      <c r="G13" s="84"/>
      <c r="H13" s="122"/>
      <c r="I13" s="152"/>
      <c r="J13" s="152"/>
      <c r="K13" s="152"/>
      <c r="L13" s="152"/>
      <c r="M13" s="152"/>
      <c r="N13" s="216">
        <v>823000</v>
      </c>
    </row>
    <row r="14" spans="1:15" ht="12.75" customHeight="1">
      <c r="A14" s="3"/>
      <c r="B14" s="22" t="s">
        <v>438</v>
      </c>
      <c r="C14" s="6"/>
      <c r="D14" s="6"/>
      <c r="E14" s="6"/>
      <c r="F14" s="6"/>
      <c r="G14" s="84"/>
      <c r="H14" s="122"/>
      <c r="I14" s="152"/>
      <c r="J14" s="152"/>
      <c r="K14" s="152"/>
      <c r="L14" s="152"/>
      <c r="M14" s="152"/>
      <c r="N14" s="216">
        <v>750000</v>
      </c>
    </row>
    <row r="15" spans="1:15" ht="12" customHeight="1">
      <c r="A15" s="3"/>
      <c r="B15" t="s">
        <v>366</v>
      </c>
      <c r="C15" s="120">
        <v>0</v>
      </c>
      <c r="D15" s="119">
        <v>0</v>
      </c>
      <c r="E15" s="119">
        <v>0</v>
      </c>
      <c r="F15" s="119">
        <v>0</v>
      </c>
      <c r="G15" s="97">
        <v>0</v>
      </c>
      <c r="H15" s="121">
        <v>11</v>
      </c>
      <c r="I15" s="156">
        <v>16</v>
      </c>
      <c r="J15" s="156">
        <v>17</v>
      </c>
      <c r="K15" s="157">
        <v>10</v>
      </c>
      <c r="L15" s="157">
        <v>8</v>
      </c>
      <c r="M15" s="157">
        <v>10</v>
      </c>
      <c r="N15" s="217">
        <v>15</v>
      </c>
    </row>
    <row r="16" spans="1:15" ht="12.75" customHeight="1">
      <c r="A16" s="3"/>
      <c r="B16" s="1" t="s">
        <v>286</v>
      </c>
      <c r="C16" s="86">
        <f>SUM(C11:C15)</f>
        <v>0</v>
      </c>
      <c r="D16" s="86">
        <v>0</v>
      </c>
      <c r="E16" s="86">
        <f>SUM(E15)</f>
        <v>0</v>
      </c>
      <c r="F16" s="86">
        <f>SUM(F15)</f>
        <v>0</v>
      </c>
      <c r="G16" s="98">
        <f t="shared" ref="G16:J16" si="0">SUM(G11:G15)</f>
        <v>0</v>
      </c>
      <c r="H16" s="86">
        <f t="shared" si="0"/>
        <v>145683</v>
      </c>
      <c r="I16" s="126">
        <f t="shared" si="0"/>
        <v>25439</v>
      </c>
      <c r="J16" s="126">
        <f t="shared" si="0"/>
        <v>130452</v>
      </c>
      <c r="K16" s="220">
        <f>SUM(K12:K15)</f>
        <v>86706</v>
      </c>
      <c r="L16" s="220">
        <f>SUM(L12:L15)</f>
        <v>39138</v>
      </c>
      <c r="M16" s="220">
        <f>SUM(M12:M15)</f>
        <v>86706</v>
      </c>
      <c r="N16" s="252">
        <f>SUM(N12:N15)</f>
        <v>1573015</v>
      </c>
    </row>
    <row r="17" spans="1:14" ht="12.75" customHeight="1">
      <c r="A17" s="3"/>
      <c r="B17" s="3"/>
      <c r="C17" s="6"/>
      <c r="D17" s="6"/>
      <c r="E17" s="6"/>
      <c r="F17" s="6"/>
      <c r="G17" s="84"/>
      <c r="H17" s="84"/>
      <c r="I17" s="154"/>
      <c r="J17" s="154"/>
      <c r="K17" s="154"/>
      <c r="L17" s="154"/>
      <c r="M17" s="154"/>
      <c r="N17" s="218"/>
    </row>
    <row r="18" spans="1:14" ht="12.75" customHeight="1">
      <c r="B18" s="72" t="s">
        <v>268</v>
      </c>
      <c r="C18" s="70"/>
      <c r="D18" s="70"/>
      <c r="E18" s="70"/>
      <c r="F18" s="70"/>
      <c r="G18" s="102"/>
      <c r="H18" s="81"/>
      <c r="I18" s="102"/>
      <c r="J18" s="102"/>
      <c r="K18" s="102"/>
      <c r="L18" s="102"/>
      <c r="M18" s="102"/>
      <c r="N18" s="218"/>
    </row>
    <row r="19" spans="1:14" ht="12.75" hidden="1" customHeight="1">
      <c r="B19" s="72"/>
      <c r="C19" s="70"/>
      <c r="D19" s="70"/>
      <c r="E19" s="70"/>
      <c r="F19" s="70"/>
      <c r="G19" s="102"/>
      <c r="H19" s="81"/>
      <c r="I19" s="102"/>
      <c r="J19" s="102"/>
      <c r="K19" s="102"/>
      <c r="L19" s="102"/>
      <c r="M19" s="102"/>
      <c r="N19" s="218"/>
    </row>
    <row r="20" spans="1:14" ht="12.75" hidden="1" customHeight="1">
      <c r="A20" s="67" t="s">
        <v>83</v>
      </c>
      <c r="B20" s="65" t="s">
        <v>70</v>
      </c>
      <c r="C20" s="17"/>
      <c r="D20" s="17"/>
      <c r="E20" s="17"/>
      <c r="F20" s="17"/>
      <c r="G20" s="84"/>
      <c r="H20" s="80"/>
      <c r="I20" s="154"/>
      <c r="J20" s="154"/>
      <c r="K20" s="154"/>
      <c r="L20" s="154"/>
      <c r="M20" s="154"/>
      <c r="N20" s="218"/>
    </row>
    <row r="21" spans="1:14" ht="12.75" hidden="1" customHeight="1">
      <c r="G21" s="102"/>
      <c r="H21" s="81"/>
      <c r="I21" s="102"/>
      <c r="J21" s="102"/>
      <c r="K21" s="102"/>
      <c r="L21" s="102"/>
      <c r="M21" s="102"/>
      <c r="N21" s="218"/>
    </row>
    <row r="22" spans="1:14">
      <c r="B22" s="77" t="s">
        <v>386</v>
      </c>
      <c r="C22" s="85"/>
      <c r="D22" s="85"/>
      <c r="E22" s="85"/>
      <c r="F22" s="85"/>
      <c r="G22" s="84"/>
      <c r="H22" s="84"/>
      <c r="I22" s="154"/>
      <c r="J22" s="154"/>
      <c r="K22" s="154"/>
      <c r="L22" s="154"/>
      <c r="M22" s="154"/>
      <c r="N22" s="218"/>
    </row>
    <row r="23" spans="1:14">
      <c r="B23" s="65" t="s">
        <v>452</v>
      </c>
      <c r="C23" s="85"/>
      <c r="D23" s="85"/>
      <c r="E23" s="85"/>
      <c r="F23" s="85"/>
      <c r="G23" s="84"/>
      <c r="H23" s="84"/>
      <c r="I23" s="154"/>
      <c r="J23" s="154"/>
      <c r="K23" s="154"/>
      <c r="L23" s="154"/>
      <c r="M23" s="154"/>
      <c r="N23" s="218">
        <v>1841330</v>
      </c>
    </row>
    <row r="24" spans="1:14">
      <c r="B24" s="65" t="s">
        <v>451</v>
      </c>
      <c r="C24" s="85"/>
      <c r="D24" s="85"/>
      <c r="E24" s="85"/>
      <c r="F24" s="85"/>
      <c r="G24" s="84"/>
      <c r="H24" s="84"/>
      <c r="I24" s="154"/>
      <c r="J24" s="152">
        <v>58000</v>
      </c>
      <c r="K24" s="154"/>
      <c r="L24" s="154"/>
      <c r="M24" s="154"/>
      <c r="N24" s="218">
        <v>100000</v>
      </c>
    </row>
    <row r="25" spans="1:14">
      <c r="B25" s="65" t="s">
        <v>440</v>
      </c>
      <c r="C25" s="85"/>
      <c r="D25" s="85"/>
      <c r="E25" s="85"/>
      <c r="F25" s="85"/>
      <c r="G25" s="84"/>
      <c r="H25" s="84"/>
      <c r="I25" s="154"/>
      <c r="J25" s="152"/>
      <c r="K25" s="154"/>
      <c r="L25" s="154"/>
      <c r="M25" s="154"/>
      <c r="N25" s="218">
        <v>50000</v>
      </c>
    </row>
    <row r="26" spans="1:14">
      <c r="B26" s="65" t="s">
        <v>450</v>
      </c>
      <c r="C26" s="85"/>
      <c r="D26" s="85"/>
      <c r="E26" s="85"/>
      <c r="F26" s="85"/>
      <c r="G26" s="84"/>
      <c r="H26" s="84"/>
      <c r="I26" s="154"/>
      <c r="J26" s="152"/>
      <c r="K26" s="154"/>
      <c r="L26" s="154"/>
      <c r="M26" s="154"/>
      <c r="N26" s="245">
        <v>500000</v>
      </c>
    </row>
    <row r="27" spans="1:14">
      <c r="B27" s="65" t="s">
        <v>443</v>
      </c>
      <c r="C27" s="85"/>
      <c r="D27" s="85"/>
      <c r="E27" s="85"/>
      <c r="F27" s="85"/>
      <c r="G27" s="84"/>
      <c r="H27" s="84"/>
      <c r="I27" s="154"/>
      <c r="J27" s="152">
        <v>110440</v>
      </c>
      <c r="K27" s="154"/>
      <c r="L27" s="154"/>
      <c r="M27" s="154"/>
      <c r="N27" s="218"/>
    </row>
    <row r="28" spans="1:14" ht="12.75" customHeight="1">
      <c r="A28" s="76"/>
      <c r="B28" s="76" t="s">
        <v>419</v>
      </c>
      <c r="C28" s="114"/>
      <c r="D28" s="114"/>
      <c r="E28" s="116"/>
      <c r="F28" s="116"/>
      <c r="G28" s="52"/>
      <c r="H28" s="116"/>
      <c r="I28" s="152"/>
      <c r="J28" s="152">
        <v>0</v>
      </c>
      <c r="K28" s="152">
        <v>40000</v>
      </c>
      <c r="L28" s="152">
        <v>0</v>
      </c>
      <c r="M28" s="152">
        <v>40000</v>
      </c>
      <c r="N28" s="216"/>
    </row>
    <row r="29" spans="1:14" ht="12.75" customHeight="1">
      <c r="A29" s="76" t="s">
        <v>420</v>
      </c>
      <c r="B29" s="76"/>
      <c r="C29" s="114"/>
      <c r="D29" s="114"/>
      <c r="E29" s="116"/>
      <c r="F29" s="116"/>
      <c r="G29" s="52"/>
      <c r="H29" s="116"/>
      <c r="I29" s="152"/>
      <c r="J29" s="152">
        <v>0</v>
      </c>
      <c r="K29" s="152">
        <v>80000</v>
      </c>
      <c r="L29" s="152">
        <v>0</v>
      </c>
      <c r="M29" s="152">
        <v>80000</v>
      </c>
      <c r="N29" s="216"/>
    </row>
    <row r="30" spans="1:14" ht="12.75" customHeight="1">
      <c r="A30" s="76"/>
      <c r="B30" s="106" t="s">
        <v>444</v>
      </c>
      <c r="C30" s="114"/>
      <c r="D30" s="114"/>
      <c r="E30" s="116"/>
      <c r="F30" s="116"/>
      <c r="G30" s="52"/>
      <c r="H30" s="116"/>
      <c r="I30" s="152"/>
      <c r="J30" s="152">
        <v>10898</v>
      </c>
      <c r="K30" s="152"/>
      <c r="L30" s="152"/>
      <c r="M30" s="152"/>
      <c r="N30" s="216"/>
    </row>
    <row r="31" spans="1:14" ht="12.75" customHeight="1">
      <c r="A31" s="76"/>
      <c r="B31" s="106" t="s">
        <v>445</v>
      </c>
      <c r="C31" s="114"/>
      <c r="D31" s="114"/>
      <c r="E31" s="116"/>
      <c r="F31" s="116"/>
      <c r="G31" s="52"/>
      <c r="H31" s="116"/>
      <c r="I31" s="152"/>
      <c r="J31" s="152">
        <v>15279</v>
      </c>
      <c r="K31" s="152"/>
      <c r="L31" s="152"/>
      <c r="M31" s="152"/>
      <c r="N31" s="216"/>
    </row>
    <row r="32" spans="1:14" ht="12.75" customHeight="1">
      <c r="A32" s="76"/>
      <c r="B32" s="106" t="s">
        <v>387</v>
      </c>
      <c r="C32" s="114"/>
      <c r="D32" s="114"/>
      <c r="E32" s="116"/>
      <c r="F32" s="116"/>
      <c r="G32" s="52">
        <v>0</v>
      </c>
      <c r="H32" s="116">
        <v>8315</v>
      </c>
      <c r="I32" s="152">
        <v>15463</v>
      </c>
      <c r="J32" s="152">
        <v>125865</v>
      </c>
      <c r="K32" s="152">
        <v>100000</v>
      </c>
      <c r="L32" s="152">
        <v>0</v>
      </c>
      <c r="M32" s="152">
        <v>100000</v>
      </c>
      <c r="N32" s="216"/>
    </row>
    <row r="33" spans="1:14" ht="12.75" customHeight="1">
      <c r="A33" s="76"/>
      <c r="B33" s="106" t="s">
        <v>384</v>
      </c>
      <c r="C33" s="116">
        <v>0</v>
      </c>
      <c r="D33" s="116">
        <v>0</v>
      </c>
      <c r="E33" s="116">
        <v>0</v>
      </c>
      <c r="F33" s="116">
        <v>0</v>
      </c>
      <c r="G33" s="52">
        <v>0</v>
      </c>
      <c r="H33" s="116">
        <v>12450</v>
      </c>
      <c r="I33" s="152">
        <f>H33</f>
        <v>12450</v>
      </c>
      <c r="J33" s="152">
        <v>2625</v>
      </c>
      <c r="K33" s="152">
        <v>0</v>
      </c>
      <c r="L33" s="152">
        <v>5160</v>
      </c>
      <c r="M33" s="152">
        <v>0</v>
      </c>
      <c r="N33" s="216"/>
    </row>
    <row r="34" spans="1:14" ht="12" customHeight="1">
      <c r="A34" s="76"/>
      <c r="B34" s="106" t="s">
        <v>434</v>
      </c>
      <c r="C34" s="70"/>
      <c r="D34" s="70"/>
      <c r="E34" s="70"/>
      <c r="F34" s="70"/>
      <c r="G34" s="52"/>
      <c r="H34" s="127"/>
      <c r="I34" s="116"/>
      <c r="J34" s="152">
        <v>10150</v>
      </c>
      <c r="K34" s="152">
        <v>21674</v>
      </c>
      <c r="L34" s="152">
        <v>48767</v>
      </c>
      <c r="M34" s="152">
        <v>49000</v>
      </c>
      <c r="N34" s="216"/>
    </row>
    <row r="35" spans="1:14" ht="12" customHeight="1">
      <c r="A35" s="76"/>
      <c r="B35" s="106" t="s">
        <v>441</v>
      </c>
      <c r="C35" s="70"/>
      <c r="D35" s="70"/>
      <c r="E35" s="70"/>
      <c r="F35" s="70"/>
      <c r="G35" s="52"/>
      <c r="H35" s="127"/>
      <c r="I35" s="157"/>
      <c r="J35" s="157"/>
      <c r="K35" s="157">
        <v>25000</v>
      </c>
      <c r="L35" s="157">
        <v>8975</v>
      </c>
      <c r="M35" s="157">
        <v>25000</v>
      </c>
      <c r="N35" s="240">
        <v>50000</v>
      </c>
    </row>
    <row r="36" spans="1:14" ht="17.100000000000001" customHeight="1">
      <c r="B36" s="68" t="s">
        <v>266</v>
      </c>
      <c r="C36" s="93">
        <f>SUM(C22:C33)</f>
        <v>0</v>
      </c>
      <c r="D36" s="93">
        <v>0</v>
      </c>
      <c r="E36" s="93">
        <f>SUM(E22:E33)</f>
        <v>0</v>
      </c>
      <c r="F36" s="93">
        <f>SUM(F22:F33)</f>
        <v>0</v>
      </c>
      <c r="G36" s="103">
        <f>SUM(G20:G35)</f>
        <v>0</v>
      </c>
      <c r="H36" s="93">
        <f>SUM(H22:H35)</f>
        <v>20765</v>
      </c>
      <c r="I36" s="103">
        <f>SUM(I20:I35)</f>
        <v>27913</v>
      </c>
      <c r="J36" s="103">
        <f>SUM(J20:J35)</f>
        <v>333257</v>
      </c>
      <c r="K36" s="199">
        <f>SUM(K28:K35)</f>
        <v>266674</v>
      </c>
      <c r="L36" s="199">
        <f>SUM(L28:L35)</f>
        <v>62902</v>
      </c>
      <c r="M36" s="199">
        <f>SUM(M28:M35)</f>
        <v>294000</v>
      </c>
      <c r="N36" s="217">
        <f>SUM(N23:N35)</f>
        <v>2541330</v>
      </c>
    </row>
    <row r="37" spans="1:14" ht="12" customHeight="1">
      <c r="B37" s="68"/>
      <c r="C37" s="71"/>
      <c r="D37" s="71"/>
      <c r="E37" s="71"/>
      <c r="F37" s="71"/>
      <c r="G37" s="102"/>
      <c r="H37" s="102"/>
      <c r="I37" s="102"/>
      <c r="J37" s="102"/>
      <c r="K37" s="102"/>
      <c r="L37" s="102"/>
      <c r="M37" s="102"/>
      <c r="N37" s="218"/>
    </row>
    <row r="38" spans="1:14" ht="18.75" customHeight="1">
      <c r="B38" s="110" t="s">
        <v>365</v>
      </c>
      <c r="C38" s="103">
        <f t="shared" ref="C38:J38" si="1">SUM(C16-C36)</f>
        <v>0</v>
      </c>
      <c r="D38" s="103">
        <f t="shared" si="1"/>
        <v>0</v>
      </c>
      <c r="E38" s="103">
        <f t="shared" si="1"/>
        <v>0</v>
      </c>
      <c r="F38" s="103">
        <f t="shared" si="1"/>
        <v>0</v>
      </c>
      <c r="G38" s="103">
        <f t="shared" si="1"/>
        <v>0</v>
      </c>
      <c r="H38" s="103">
        <f t="shared" si="1"/>
        <v>124918</v>
      </c>
      <c r="I38" s="103">
        <f t="shared" si="1"/>
        <v>-2474</v>
      </c>
      <c r="J38" s="103">
        <f t="shared" si="1"/>
        <v>-202805</v>
      </c>
      <c r="K38" s="103">
        <f t="shared" ref="K38:L38" si="2">SUM(K16-K36)</f>
        <v>-179968</v>
      </c>
      <c r="L38" s="103">
        <f t="shared" si="2"/>
        <v>-23764</v>
      </c>
      <c r="M38" s="103">
        <f t="shared" ref="M38:N38" si="3">SUM(M16-M36)</f>
        <v>-207294</v>
      </c>
      <c r="N38" s="253">
        <f t="shared" si="3"/>
        <v>-968315</v>
      </c>
    </row>
    <row r="39" spans="1:14" ht="12" customHeight="1">
      <c r="B39" s="68"/>
      <c r="C39" s="71"/>
      <c r="D39" s="71"/>
      <c r="E39" s="71"/>
      <c r="F39" s="71"/>
      <c r="G39" s="102"/>
      <c r="H39" s="102"/>
      <c r="I39" s="102"/>
      <c r="J39" s="102"/>
      <c r="K39" s="102"/>
      <c r="L39" s="102"/>
      <c r="M39" s="102"/>
      <c r="N39" s="218"/>
    </row>
    <row r="40" spans="1:14" ht="15" customHeight="1">
      <c r="B40" s="5" t="s">
        <v>379</v>
      </c>
      <c r="C40" s="84"/>
      <c r="D40" s="84"/>
      <c r="E40" s="84"/>
      <c r="F40" s="84"/>
      <c r="G40" s="102"/>
      <c r="H40" s="84"/>
      <c r="I40" s="102"/>
      <c r="J40" s="102"/>
      <c r="K40" s="102"/>
      <c r="L40" s="102"/>
      <c r="M40" s="102"/>
      <c r="N40" s="218"/>
    </row>
    <row r="41" spans="1:14" ht="15.75" customHeight="1">
      <c r="B41" s="106" t="s">
        <v>383</v>
      </c>
      <c r="C41" s="94">
        <v>0</v>
      </c>
      <c r="D41" s="94">
        <v>0</v>
      </c>
      <c r="E41" s="94">
        <v>0</v>
      </c>
      <c r="F41" s="94">
        <v>0</v>
      </c>
      <c r="G41" s="103">
        <v>397000</v>
      </c>
      <c r="H41" s="98">
        <v>11201</v>
      </c>
      <c r="I41" s="102">
        <v>62953</v>
      </c>
      <c r="J41" s="102">
        <v>342803</v>
      </c>
      <c r="K41" s="102">
        <v>385000</v>
      </c>
      <c r="L41" s="102">
        <v>23852</v>
      </c>
      <c r="M41" s="102">
        <v>245000</v>
      </c>
      <c r="N41" s="219">
        <v>320000</v>
      </c>
    </row>
    <row r="42" spans="1:14">
      <c r="B42" s="106" t="s">
        <v>449</v>
      </c>
      <c r="C42" s="243"/>
      <c r="D42" s="243"/>
      <c r="E42" s="243"/>
      <c r="F42" s="243"/>
      <c r="G42" s="102"/>
      <c r="H42" s="84"/>
      <c r="I42" s="127">
        <v>0</v>
      </c>
      <c r="J42" s="127">
        <v>0</v>
      </c>
      <c r="K42" s="127">
        <v>0</v>
      </c>
      <c r="L42" s="127">
        <v>0</v>
      </c>
      <c r="M42" s="127">
        <v>0</v>
      </c>
      <c r="N42" s="257">
        <v>500000</v>
      </c>
    </row>
    <row r="43" spans="1:14">
      <c r="B43" s="106"/>
      <c r="C43" s="71"/>
      <c r="D43" s="71"/>
      <c r="E43" s="71"/>
      <c r="F43" s="71"/>
      <c r="G43" s="102"/>
      <c r="H43" s="102"/>
      <c r="I43" s="244">
        <v>0</v>
      </c>
      <c r="J43" s="244">
        <v>0</v>
      </c>
      <c r="K43" s="244">
        <v>0</v>
      </c>
      <c r="L43" s="244">
        <v>0</v>
      </c>
      <c r="M43" s="244">
        <v>0</v>
      </c>
      <c r="N43" s="258"/>
    </row>
    <row r="44" spans="1:14" ht="14.1" customHeight="1">
      <c r="B44" s="69" t="s">
        <v>378</v>
      </c>
      <c r="C44" s="93">
        <f t="shared" ref="C44" si="4">SUM(C41:C43)</f>
        <v>0</v>
      </c>
      <c r="D44" s="93">
        <f t="shared" ref="D44:F44" si="5">SUM(D41:D43)</f>
        <v>0</v>
      </c>
      <c r="E44" s="93">
        <f t="shared" si="5"/>
        <v>0</v>
      </c>
      <c r="F44" s="93">
        <f t="shared" si="5"/>
        <v>0</v>
      </c>
      <c r="G44" s="103">
        <f t="shared" ref="G44:I44" si="6">SUM(G41:G43)</f>
        <v>397000</v>
      </c>
      <c r="H44" s="93">
        <f t="shared" ref="H44" si="7">SUM(H41:H43)</f>
        <v>11201</v>
      </c>
      <c r="I44" s="103">
        <f t="shared" si="6"/>
        <v>62953</v>
      </c>
      <c r="J44" s="103">
        <f t="shared" ref="J44" si="8">SUM(J41:J43)</f>
        <v>342803</v>
      </c>
      <c r="K44" s="199">
        <v>385000</v>
      </c>
      <c r="L44" s="199">
        <v>23852</v>
      </c>
      <c r="M44" s="199">
        <f>SUM(M41:M43)</f>
        <v>245000</v>
      </c>
      <c r="N44" s="259">
        <f>SUM(N41:N43)</f>
        <v>820000</v>
      </c>
    </row>
    <row r="45" spans="1:14" ht="12" customHeight="1">
      <c r="C45" s="71"/>
      <c r="D45" s="71"/>
      <c r="E45" s="71"/>
      <c r="F45" s="71"/>
      <c r="G45" s="102"/>
      <c r="H45" s="102"/>
      <c r="I45" s="102"/>
      <c r="J45" s="102"/>
      <c r="K45" s="102"/>
      <c r="L45" s="102"/>
      <c r="M45" s="102"/>
      <c r="N45" s="219"/>
    </row>
    <row r="46" spans="1:14" ht="12" customHeight="1">
      <c r="B46" s="69" t="s">
        <v>364</v>
      </c>
      <c r="C46" s="93">
        <f t="shared" ref="C46" si="9">SUM(C38+C44)</f>
        <v>0</v>
      </c>
      <c r="D46" s="93">
        <f t="shared" ref="D46:E46" si="10">SUM(D38+D44)</f>
        <v>0</v>
      </c>
      <c r="E46" s="93">
        <f t="shared" si="10"/>
        <v>0</v>
      </c>
      <c r="F46" s="93">
        <f t="shared" ref="F46" si="11">SUM(F38+F44)</f>
        <v>0</v>
      </c>
      <c r="G46" s="103">
        <f>SUM(G38+G44)</f>
        <v>397000</v>
      </c>
      <c r="H46" s="93">
        <f t="shared" ref="H46" si="12">SUM(H38+H44)</f>
        <v>136119</v>
      </c>
      <c r="I46" s="103">
        <f>SUM(I38+I44)</f>
        <v>60479</v>
      </c>
      <c r="J46" s="103">
        <f>SUM(J38+J44)</f>
        <v>139998</v>
      </c>
      <c r="K46" s="103">
        <f t="shared" ref="K46:L46" si="13">SUM(K38+K44)</f>
        <v>205032</v>
      </c>
      <c r="L46" s="103">
        <f t="shared" si="13"/>
        <v>88</v>
      </c>
      <c r="M46" s="103">
        <f t="shared" ref="M46:N46" si="14">SUM(M38+M44)</f>
        <v>37706</v>
      </c>
      <c r="N46" s="259">
        <f t="shared" si="14"/>
        <v>-148315</v>
      </c>
    </row>
    <row r="47" spans="1:14" ht="12" customHeight="1">
      <c r="C47" s="71"/>
      <c r="D47" s="71"/>
      <c r="E47" s="71"/>
      <c r="F47" s="71"/>
      <c r="G47" s="102"/>
      <c r="H47" s="102"/>
      <c r="I47" s="102"/>
      <c r="J47" s="102"/>
      <c r="K47" s="102"/>
      <c r="L47" s="102"/>
      <c r="M47" s="102"/>
      <c r="N47" s="218"/>
    </row>
    <row r="48" spans="1:14" ht="12" customHeight="1">
      <c r="B48" s="5" t="s">
        <v>389</v>
      </c>
      <c r="C48" s="93">
        <v>0</v>
      </c>
      <c r="D48" s="93">
        <v>0</v>
      </c>
      <c r="E48" s="93">
        <v>0</v>
      </c>
      <c r="F48" s="93">
        <v>0</v>
      </c>
      <c r="G48" s="103">
        <v>8497</v>
      </c>
      <c r="H48" s="103" t="e">
        <f>#REF!</f>
        <v>#REF!</v>
      </c>
      <c r="I48" s="103">
        <v>8497</v>
      </c>
      <c r="J48" s="103">
        <v>8513</v>
      </c>
      <c r="K48" s="199">
        <v>148513</v>
      </c>
      <c r="L48" s="199">
        <v>148511</v>
      </c>
      <c r="M48" s="199">
        <v>148511</v>
      </c>
      <c r="N48" s="260">
        <f>M50</f>
        <v>186217</v>
      </c>
    </row>
    <row r="49" spans="2:14" ht="12" customHeight="1">
      <c r="B49" s="3"/>
      <c r="C49" s="71"/>
      <c r="D49" s="71"/>
      <c r="E49" s="71"/>
      <c r="F49" s="71"/>
      <c r="G49" s="102"/>
      <c r="H49" s="102"/>
      <c r="I49" s="102"/>
      <c r="J49" s="102"/>
      <c r="K49" s="102"/>
      <c r="L49" s="102"/>
      <c r="M49" s="102"/>
      <c r="N49" s="218"/>
    </row>
    <row r="50" spans="2:14" ht="15.95" customHeight="1" thickBot="1">
      <c r="B50" s="5" t="s">
        <v>361</v>
      </c>
      <c r="C50" s="109">
        <f t="shared" ref="C50:D50" si="15">SUM(C46:C48)</f>
        <v>0</v>
      </c>
      <c r="D50" s="109">
        <f t="shared" si="15"/>
        <v>0</v>
      </c>
      <c r="E50" s="109">
        <f t="shared" ref="E50:F50" si="16">SUM(E46:E48)</f>
        <v>0</v>
      </c>
      <c r="F50" s="109">
        <f t="shared" si="16"/>
        <v>0</v>
      </c>
      <c r="G50" s="109">
        <f t="shared" ref="G50" si="17">SUM(G46:G48)</f>
        <v>405497</v>
      </c>
      <c r="H50" s="109" t="e">
        <f t="shared" ref="H50:I50" si="18">SUM(H46:H48)</f>
        <v>#REF!</v>
      </c>
      <c r="I50" s="109">
        <f t="shared" si="18"/>
        <v>68976</v>
      </c>
      <c r="J50" s="109">
        <f t="shared" ref="J50:L50" si="19">SUM(J46:J48)</f>
        <v>148511</v>
      </c>
      <c r="K50" s="109">
        <f t="shared" si="19"/>
        <v>353545</v>
      </c>
      <c r="L50" s="109">
        <f t="shared" si="19"/>
        <v>148599</v>
      </c>
      <c r="M50" s="109">
        <f t="shared" ref="M50:N50" si="20">SUM(M46:M48)</f>
        <v>186217</v>
      </c>
      <c r="N50" s="261">
        <f t="shared" si="20"/>
        <v>37902</v>
      </c>
    </row>
    <row r="51" spans="2:14" ht="13.5" thickTop="1"/>
    <row r="53" spans="2:14" hidden="1">
      <c r="B53" s="195" t="s">
        <v>422</v>
      </c>
    </row>
    <row r="54" spans="2:14" hidden="1">
      <c r="B54" s="195" t="s">
        <v>421</v>
      </c>
    </row>
    <row r="55" spans="2:14" hidden="1">
      <c r="B55" s="196" t="s">
        <v>423</v>
      </c>
    </row>
    <row r="57" spans="2:14" ht="12" customHeight="1">
      <c r="H57" s="73"/>
    </row>
    <row r="58" spans="2:14">
      <c r="H58" s="74"/>
    </row>
    <row r="59" spans="2:14">
      <c r="H59" s="74"/>
    </row>
    <row r="61" spans="2:14">
      <c r="H61" s="75"/>
    </row>
  </sheetData>
  <sortState ref="B62:C70">
    <sortCondition ref="B62:B70"/>
  </sortState>
  <mergeCells count="4">
    <mergeCell ref="B4:J4"/>
    <mergeCell ref="A1:N1"/>
    <mergeCell ref="A2:N2"/>
    <mergeCell ref="B3:N3"/>
  </mergeCells>
  <phoneticPr fontId="23" type="noConversion"/>
  <printOptions horizontalCentered="1"/>
  <pageMargins left="0.25" right="0.25" top="0.75" bottom="0.75" header="0.3" footer="0.3"/>
  <pageSetup paperSize="5" scale="110" orientation="landscape" r:id="rId1"/>
  <headerFooter alignWithMargins="0">
    <oddHeader xml:space="preserve">&amp;C&amp;"Arial,Bold"
</oddHeader>
  </headerFooter>
  <ignoredErrors>
    <ignoredError sqref="H44 H36" formula="1"/>
    <ignoredError sqref="K16:N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78914f-d00b-4083-a84f-1406b8820375">
      <Terms xmlns="http://schemas.microsoft.com/office/infopath/2007/PartnerControls"/>
    </lcf76f155ced4ddcb4097134ff3c332f>
    <TaxCatchAll xmlns="6834acf2-5b68-45a5-8d71-6660c42300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35848DF147F4BB80C597A60B1FE88" ma:contentTypeVersion="22" ma:contentTypeDescription="Create a new document." ma:contentTypeScope="" ma:versionID="dea987273b2f652cdb185b5c305ea3f4">
  <xsd:schema xmlns:xsd="http://www.w3.org/2001/XMLSchema" xmlns:xs="http://www.w3.org/2001/XMLSchema" xmlns:p="http://schemas.microsoft.com/office/2006/metadata/properties" xmlns:ns2="bf78914f-d00b-4083-a84f-1406b8820375" xmlns:ns3="6834acf2-5b68-45a5-8d71-6660c4230027" targetNamespace="http://schemas.microsoft.com/office/2006/metadata/properties" ma:root="true" ma:fieldsID="9feb0a5f1b78e8b088d748c0fd725a18" ns2:_="" ns3:_="">
    <xsd:import namespace="bf78914f-d00b-4083-a84f-1406b8820375"/>
    <xsd:import namespace="6834acf2-5b68-45a5-8d71-6660c4230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914f-d00b-4083-a84f-1406b8820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798520-768f-44bd-a5a2-2dcc1d00e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4acf2-5b68-45a5-8d71-6660c4230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c764846-7a4e-452f-a06f-8b718277893a}" ma:internalName="TaxCatchAll" ma:showField="CatchAllData" ma:web="6834acf2-5b68-45a5-8d71-6660c42300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4B4AF9-E0C1-4A0C-A3AC-BABA6C3DF3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AD3A57-D14C-4BF3-9132-9702506705CC}">
  <ds:schemaRefs>
    <ds:schemaRef ds:uri="http://purl.org/dc/elements/1.1/"/>
    <ds:schemaRef ds:uri="6834acf2-5b68-45a5-8d71-6660c4230027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f78914f-d00b-4083-a84f-1406b882037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F9EF088-75CF-4A17-B212-7970B2D0E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8914f-d00b-4083-a84f-1406b8820375"/>
    <ds:schemaRef ds:uri="6834acf2-5b68-45a5-8d71-6660c4230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Fund Balance (2)</vt:lpstr>
      <vt:lpstr>Fund Balance</vt:lpstr>
      <vt:lpstr>DA Davidson Recon.</vt:lpstr>
      <vt:lpstr>Budget Summary</vt:lpstr>
      <vt:lpstr>Gen Fund</vt:lpstr>
      <vt:lpstr>Debt Service</vt:lpstr>
      <vt:lpstr>Ent Fund</vt:lpstr>
      <vt:lpstr>2008 Projections</vt:lpstr>
      <vt:lpstr>Capital Projects</vt:lpstr>
      <vt:lpstr>Mill Levy</vt:lpstr>
      <vt:lpstr>'Budget Summary'!Print_Area</vt:lpstr>
      <vt:lpstr>'Capital Projects'!Print_Area</vt:lpstr>
      <vt:lpstr>'Debt Service'!Print_Area</vt:lpstr>
      <vt:lpstr>'Ent Fund'!Print_Area</vt:lpstr>
      <vt:lpstr>'Gen Fund'!Print_Area</vt:lpstr>
      <vt:lpstr>'Mill Levy'!Print_Area</vt:lpstr>
      <vt:lpstr>'Budget Summary'!Print_Titles</vt:lpstr>
      <vt:lpstr>'Ent Fund'!Print_Titles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Meric Lallier</dc:creator>
  <cp:lastModifiedBy>DiegoM</cp:lastModifiedBy>
  <cp:lastPrinted>2025-11-14T04:52:10Z</cp:lastPrinted>
  <dcterms:created xsi:type="dcterms:W3CDTF">2007-03-29T14:54:44Z</dcterms:created>
  <dcterms:modified xsi:type="dcterms:W3CDTF">2025-11-19T20:51:37Z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0x010100A2C35848DF147F4BB80C597A60B1FE88</vt:lpwstr>
  </property>
  <property fmtid="{D5CDD505-2E9C-101B-9397-08002B2CF9AE}" pid="3" name="MediaServiceImageTags">
    <vt:lpwstr/>
  </property>
</Properties>
</file>